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pulgosy\AppData\Local\SIATEL\G8\EditNative\Current\"/>
    </mc:Choice>
  </mc:AlternateContent>
  <xr:revisionPtr revIDLastSave="0" documentId="13_ncr:1_{2BE5F91C-F998-4C2F-855D-B2721099AB39}" xr6:coauthVersionLast="36" xr6:coauthVersionMax="36" xr10:uidLastSave="{00000000-0000-0000-0000-000000000000}"/>
  <bookViews>
    <workbookView xWindow="135" yWindow="45" windowWidth="11610" windowHeight="7830" tabRatio="815" firstSheet="2" activeTab="2" xr2:uid="{00000000-000D-0000-FFFF-FFFF00000000}"/>
  </bookViews>
  <sheets>
    <sheet name="1. Stat dechet" sheetId="16" state="hidden" r:id="rId1"/>
    <sheet name="2. Dimension ecopoint" sheetId="18" state="hidden" r:id="rId2"/>
    <sheet name="Dimension prive en surface" sheetId="15" r:id="rId3"/>
    <sheet name="4. Stat ecopoint" sheetId="17" state="hidden" r:id="rId4"/>
  </sheets>
  <definedNames>
    <definedName name="_ftn1" localSheetId="2">'Dimension prive en surface'!$B$24</definedName>
    <definedName name="_ftnref1" localSheetId="2">'Dimension prive en surface'!$B$18</definedName>
  </definedNames>
  <calcPr calcId="191029"/>
</workbook>
</file>

<file path=xl/calcChain.xml><?xml version="1.0" encoding="utf-8"?>
<calcChain xmlns="http://schemas.openxmlformats.org/spreadsheetml/2006/main">
  <c r="C34" i="15" l="1"/>
  <c r="Q14" i="17" l="1"/>
  <c r="P14" i="17"/>
  <c r="Q8" i="17"/>
  <c r="Q9" i="17"/>
  <c r="Q10" i="17"/>
  <c r="Q11" i="17"/>
  <c r="Q12" i="17"/>
  <c r="Q13" i="17"/>
  <c r="Q7" i="17"/>
  <c r="E49" i="18" l="1"/>
  <c r="E50" i="18"/>
  <c r="E40" i="18"/>
  <c r="E39" i="18"/>
  <c r="H25" i="15" l="1"/>
  <c r="J20" i="16"/>
  <c r="P13" i="18" l="1"/>
  <c r="O13" i="18"/>
  <c r="D13" i="18"/>
  <c r="P12" i="18"/>
  <c r="O12" i="18"/>
  <c r="P11" i="18"/>
  <c r="O11" i="18"/>
  <c r="D11" i="18"/>
  <c r="D10" i="18"/>
  <c r="P9" i="18"/>
  <c r="N9" i="18"/>
  <c r="M9" i="18"/>
  <c r="D9" i="18"/>
  <c r="D8" i="18"/>
  <c r="N19" i="17" l="1"/>
  <c r="H19" i="17"/>
  <c r="N18" i="17"/>
  <c r="H18" i="17"/>
  <c r="N17" i="17"/>
  <c r="H17" i="17"/>
  <c r="N16" i="17"/>
  <c r="H16" i="17"/>
  <c r="N13" i="17"/>
  <c r="H13" i="17"/>
  <c r="N12" i="17"/>
  <c r="H12" i="17"/>
  <c r="N11" i="17"/>
  <c r="H11" i="17"/>
  <c r="N10" i="17"/>
  <c r="H10" i="17"/>
  <c r="N9" i="17"/>
  <c r="H9" i="17"/>
  <c r="N8" i="17"/>
  <c r="H8" i="17"/>
  <c r="N7" i="17"/>
  <c r="H7" i="17"/>
  <c r="U26" i="16"/>
  <c r="U27" i="16" s="1"/>
  <c r="H22" i="16" s="1"/>
  <c r="T26" i="16"/>
  <c r="T27" i="16" s="1"/>
  <c r="G22" i="16" s="1"/>
  <c r="S26" i="16"/>
  <c r="S27" i="16" s="1"/>
  <c r="F22" i="16" s="1"/>
  <c r="H25" i="16"/>
  <c r="G25" i="16"/>
  <c r="F25" i="16"/>
  <c r="H24" i="16"/>
  <c r="G24" i="16"/>
  <c r="F24" i="16"/>
  <c r="H23" i="16"/>
  <c r="G23" i="16"/>
  <c r="F23" i="16"/>
  <c r="H21" i="16"/>
  <c r="G21" i="16"/>
  <c r="F21" i="16"/>
  <c r="H20" i="16"/>
  <c r="G20" i="16"/>
  <c r="F20" i="16"/>
  <c r="H19" i="16"/>
  <c r="U25" i="16" s="1"/>
  <c r="G19" i="16"/>
  <c r="T25" i="16" s="1"/>
  <c r="S25" i="16"/>
  <c r="AL13" i="16"/>
  <c r="AK13" i="16"/>
  <c r="AJ13" i="16"/>
  <c r="AI13" i="16"/>
  <c r="AH13" i="16"/>
  <c r="AG13" i="16"/>
  <c r="AF13" i="16"/>
  <c r="AE13" i="16"/>
  <c r="AD13" i="16"/>
  <c r="AC13" i="16"/>
  <c r="AB13" i="16"/>
  <c r="AA13" i="16"/>
  <c r="Z13" i="16"/>
  <c r="Y13" i="16"/>
  <c r="X13" i="16"/>
  <c r="W13" i="16"/>
  <c r="V13" i="16"/>
  <c r="U13" i="16"/>
  <c r="T13" i="16"/>
  <c r="S13" i="16"/>
  <c r="R13" i="16"/>
  <c r="Q13" i="16"/>
  <c r="P13" i="16"/>
  <c r="O13" i="16"/>
  <c r="N13" i="16"/>
  <c r="M13" i="16"/>
  <c r="L13" i="16"/>
  <c r="K13" i="16"/>
  <c r="J13" i="16"/>
  <c r="I13" i="16"/>
  <c r="H13" i="16"/>
  <c r="G13" i="16"/>
  <c r="F13" i="16"/>
  <c r="E13" i="16"/>
  <c r="D13" i="16"/>
  <c r="C13" i="16"/>
  <c r="AL12" i="16"/>
  <c r="AK12" i="16"/>
  <c r="AJ12" i="16"/>
  <c r="AI12" i="16"/>
  <c r="AH12" i="16"/>
  <c r="AG12" i="16"/>
  <c r="AF12" i="16"/>
  <c r="AE12" i="16"/>
  <c r="AD12" i="16"/>
  <c r="AC12" i="16"/>
  <c r="AB12" i="16"/>
  <c r="AA12" i="16"/>
  <c r="Z12" i="16"/>
  <c r="Y12" i="16"/>
  <c r="X12" i="16"/>
  <c r="W12" i="16"/>
  <c r="V12" i="16"/>
  <c r="U12" i="16"/>
  <c r="T12" i="16"/>
  <c r="S12" i="16"/>
  <c r="R12" i="16"/>
  <c r="Q12" i="16"/>
  <c r="P12" i="16"/>
  <c r="O12" i="16"/>
  <c r="N12" i="16"/>
  <c r="M12" i="16"/>
  <c r="L12" i="16"/>
  <c r="K12" i="16"/>
  <c r="J12" i="16"/>
  <c r="I12" i="16"/>
  <c r="H12" i="16"/>
  <c r="G12" i="16"/>
  <c r="F12" i="16"/>
  <c r="E12" i="16"/>
  <c r="D12" i="16"/>
  <c r="C12" i="16"/>
  <c r="AL11" i="16"/>
  <c r="AK11" i="16"/>
  <c r="AJ11" i="16"/>
  <c r="AI11" i="16"/>
  <c r="AH11"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F11" i="16"/>
  <c r="E11" i="16"/>
  <c r="D11" i="16"/>
  <c r="C11" i="16"/>
  <c r="I21" i="16" l="1"/>
  <c r="I25" i="16"/>
  <c r="I24" i="16"/>
  <c r="I20" i="16"/>
  <c r="I22" i="16"/>
  <c r="I23" i="16"/>
  <c r="L22" i="16"/>
  <c r="L23" i="16"/>
  <c r="L20" i="16"/>
  <c r="E8" i="18" s="1"/>
  <c r="L24" i="16"/>
  <c r="L21" i="16"/>
  <c r="E10" i="18" s="1"/>
  <c r="L25" i="16"/>
  <c r="C25" i="15"/>
  <c r="E12" i="18" l="1"/>
  <c r="G12" i="18" s="1"/>
  <c r="H12" i="18" s="1"/>
  <c r="E13" i="18"/>
  <c r="G13" i="18" s="1"/>
  <c r="H13" i="18" s="1"/>
  <c r="E9" i="18"/>
  <c r="G10" i="18"/>
  <c r="H10" i="18" s="1"/>
  <c r="E11" i="18"/>
  <c r="G11" i="18" s="1"/>
  <c r="H11" i="18" s="1"/>
  <c r="H18" i="15"/>
  <c r="J3" i="18" s="1"/>
  <c r="G8" i="18"/>
  <c r="E14" i="18" l="1"/>
  <c r="E15" i="18"/>
  <c r="G9" i="18"/>
  <c r="H9" i="18" s="1"/>
  <c r="E16" i="18"/>
  <c r="I11" i="18"/>
  <c r="J11" i="18" s="1"/>
  <c r="M11" i="18" s="1"/>
  <c r="I10" i="18"/>
  <c r="I12" i="18"/>
  <c r="J12" i="18" s="1"/>
  <c r="M12" i="18" s="1"/>
  <c r="I13" i="18"/>
  <c r="J13" i="18" s="1"/>
  <c r="M13" i="18" s="1"/>
  <c r="H8" i="18"/>
  <c r="I8" i="18"/>
  <c r="J8" i="18" s="1"/>
  <c r="O8" i="18" l="1"/>
  <c r="P8" i="18"/>
  <c r="J10" i="18"/>
  <c r="O10" i="18" s="1"/>
  <c r="D47" i="18"/>
  <c r="D37" i="18"/>
  <c r="D58" i="18"/>
  <c r="I9" i="18"/>
  <c r="J9" i="18" s="1"/>
  <c r="M8" i="18"/>
  <c r="D56" i="18" s="1"/>
  <c r="N8" i="18"/>
  <c r="P10" i="18" l="1"/>
  <c r="D48" i="18" s="1"/>
  <c r="E48" i="18" s="1"/>
  <c r="N10" i="18"/>
  <c r="D38" i="18"/>
  <c r="E38" i="18" s="1"/>
  <c r="M10" i="18"/>
  <c r="C33" i="15" s="1"/>
  <c r="C32" i="15"/>
  <c r="E37" i="18"/>
  <c r="E47" i="18"/>
  <c r="E41" i="18" l="1"/>
  <c r="E51" i="18"/>
  <c r="D57" i="18"/>
  <c r="D60" i="18" l="1"/>
  <c r="G38" i="15" s="1"/>
</calcChain>
</file>

<file path=xl/sharedStrings.xml><?xml version="1.0" encoding="utf-8"?>
<sst xmlns="http://schemas.openxmlformats.org/spreadsheetml/2006/main" count="224" uniqueCount="143">
  <si>
    <t>Studio / 1 pièce</t>
  </si>
  <si>
    <t>2 pièces</t>
  </si>
  <si>
    <t>3 pièces</t>
  </si>
  <si>
    <t>4 pièces</t>
  </si>
  <si>
    <t>5 pièces</t>
  </si>
  <si>
    <t>Par pièce</t>
  </si>
  <si>
    <t>Cellules à compléter par le propriétaire ou mandataire</t>
  </si>
  <si>
    <t>Nombre d'habitants</t>
  </si>
  <si>
    <t>Par surface brute de plancher</t>
  </si>
  <si>
    <r>
      <t>Surface de plancher (m</t>
    </r>
    <r>
      <rPr>
        <vertAlign val="superscript"/>
        <sz val="11"/>
        <color theme="1"/>
        <rFont val="Calibri"/>
        <family val="2"/>
        <scheme val="minor"/>
      </rPr>
      <t>2</t>
    </r>
    <r>
      <rPr>
        <sz val="11"/>
        <color theme="1"/>
        <rFont val="Calibri"/>
        <family val="2"/>
        <scheme val="minor"/>
      </rPr>
      <t>)</t>
    </r>
  </si>
  <si>
    <t>L'estimation du nombre d'habitants peut se faire soit d'après le nombre de pièces soit d'après la surface brute de plancher des logements.</t>
  </si>
  <si>
    <t>Exemple: immeuble avec 6 appartements de 3 pièces et 2 appartements de 4 pièces</t>
  </si>
  <si>
    <t>Estimation du nombre de conteneurs</t>
  </si>
  <si>
    <t>Déchets verts</t>
  </si>
  <si>
    <t>Ordures ménagères</t>
  </si>
  <si>
    <t>Papier/ carton</t>
  </si>
  <si>
    <t>Dimensionnement</t>
  </si>
  <si>
    <t>Principes d'aménagement</t>
  </si>
  <si>
    <t>Dimensionnement et principes d'aménagement pour les conteneurs à déchets</t>
  </si>
  <si>
    <t>Estimation de la surface nécessaire</t>
  </si>
  <si>
    <t>Cet outil donne une estimation du nombre de conteneurs nécessaires pour équiper des immeubles.</t>
  </si>
  <si>
    <r>
      <t xml:space="preserve">Le tableau ci-dessous indique le nombre de conteneurs de 360 litres </t>
    </r>
    <r>
      <rPr>
        <b/>
        <u/>
        <sz val="11"/>
        <color theme="1"/>
        <rFont val="Calibri"/>
        <family val="2"/>
        <scheme val="minor"/>
      </rPr>
      <t>ou</t>
    </r>
    <r>
      <rPr>
        <sz val="11"/>
        <color theme="1"/>
        <rFont val="Calibri"/>
        <family val="2"/>
        <scheme val="minor"/>
      </rPr>
      <t xml:space="preserve"> de 770 litres nécessaires pour équiper l'immeuble</t>
    </r>
  </si>
  <si>
    <t xml:space="preserve">La surface indicative de l'aménagement pour entreposer les conteneurs est de </t>
  </si>
  <si>
    <t>Type d'appartements</t>
  </si>
  <si>
    <t>Nombre d'appartements de x pièces</t>
  </si>
  <si>
    <t>Pour toutes questions sur l'aménagement, contacter Mr. Bolay au 021.721.32.34 ou alain.bolay@pully.ch</t>
  </si>
  <si>
    <r>
      <t xml:space="preserve">L'outil est fourni à bien plaire et </t>
    </r>
    <r>
      <rPr>
        <b/>
        <sz val="11"/>
        <color rgb="FF000000"/>
        <rFont val="Calibri"/>
        <family val="2"/>
        <scheme val="minor"/>
      </rPr>
      <t xml:space="preserve">n'engage en aucun cas la responsabilité de la Ville de Pully </t>
    </r>
    <r>
      <rPr>
        <sz val="11"/>
        <color rgb="FF000000"/>
        <rFont val="Calibri"/>
        <family val="2"/>
        <scheme val="minor"/>
      </rPr>
      <t>en cas de sous ou de sur dimensionnement.</t>
    </r>
  </si>
  <si>
    <t>Evolution des tonnages collectés</t>
  </si>
  <si>
    <t xml:space="preserve"> </t>
  </si>
  <si>
    <t>Ordures ménagères (OM)</t>
  </si>
  <si>
    <t>Papier</t>
  </si>
  <si>
    <t xml:space="preserve">Déchets végétaux </t>
  </si>
  <si>
    <t>Verre</t>
  </si>
  <si>
    <t>P E T</t>
  </si>
  <si>
    <t>Aluminium / Fer blanc</t>
  </si>
  <si>
    <t>Total</t>
  </si>
  <si>
    <t>Total recyclables</t>
  </si>
  <si>
    <t>Total déchets OPEO</t>
  </si>
  <si>
    <t>Nombre d'habitant</t>
  </si>
  <si>
    <t>source déchets: G:\DTSI DUE\DTSI\05_Route - Voirie\03_Exploitation\25_Route - Voirie\Déchets\Récapitulation\Récup2017.xlsx</t>
  </si>
  <si>
    <t>source population : voir le tableau population dans le chapitre déchets du rapport de gestion</t>
  </si>
  <si>
    <t>Production annuelle par habitant</t>
  </si>
  <si>
    <t>Facteur de sécurité</t>
  </si>
  <si>
    <t>pour le calcul</t>
  </si>
  <si>
    <t>PET</t>
  </si>
  <si>
    <t>Aluminium/ Fer blanc</t>
  </si>
  <si>
    <t>Cas spécial des déchets végétaux</t>
  </si>
  <si>
    <t>Quantité totale estivale</t>
  </si>
  <si>
    <t>Quantité éq. annuelle</t>
  </si>
  <si>
    <t>Surface (360 l)</t>
  </si>
  <si>
    <t>Enterré (3'000 ou 5'000 l)</t>
  </si>
  <si>
    <t>DV</t>
  </si>
  <si>
    <t>Alu</t>
  </si>
  <si>
    <t>Textile</t>
  </si>
  <si>
    <t>Réserve</t>
  </si>
  <si>
    <t>Tot</t>
  </si>
  <si>
    <t>OM</t>
  </si>
  <si>
    <t>Ecopoints réalisés</t>
  </si>
  <si>
    <r>
      <t xml:space="preserve">Clergère actuel </t>
    </r>
    <r>
      <rPr>
        <sz val="9"/>
        <color theme="1"/>
        <rFont val="Calibri"/>
        <family val="2"/>
        <scheme val="minor"/>
      </rPr>
      <t>(verre en surface)</t>
    </r>
  </si>
  <si>
    <t>-</t>
  </si>
  <si>
    <t>Rochettaz</t>
  </si>
  <si>
    <t>Osches</t>
  </si>
  <si>
    <t>Carvalho</t>
  </si>
  <si>
    <t>Chamblandes</t>
  </si>
  <si>
    <t>Port</t>
  </si>
  <si>
    <t>Somais</t>
  </si>
  <si>
    <t>Ecopoints projetés</t>
  </si>
  <si>
    <t>Boverattes</t>
  </si>
  <si>
    <t>Clergère Nord</t>
  </si>
  <si>
    <t>Dimensionné pour 350 hab</t>
  </si>
  <si>
    <t>Clergère Pré la Tour</t>
  </si>
  <si>
    <t>Dimmensionné pour 380 hab + écopoint</t>
  </si>
  <si>
    <t>Clergère Prieuré</t>
  </si>
  <si>
    <t>Dimmensionné pour écopoint seul</t>
  </si>
  <si>
    <t>Chamblande dessous</t>
  </si>
  <si>
    <r>
      <t xml:space="preserve">150 
</t>
    </r>
    <r>
      <rPr>
        <b/>
        <sz val="9"/>
        <color theme="1"/>
        <rFont val="Calibri"/>
        <family val="2"/>
        <scheme val="minor"/>
      </rPr>
      <t>(dont 50 pour besoin privé et 100 pour public)</t>
    </r>
  </si>
  <si>
    <r>
      <t xml:space="preserve">Dimmensionné pour 200 hab </t>
    </r>
    <r>
      <rPr>
        <sz val="11"/>
        <color rgb="FFFF0000"/>
        <rFont val="Calibri"/>
        <family val="2"/>
        <scheme val="minor"/>
      </rPr>
      <t>+ écopoint</t>
    </r>
  </si>
  <si>
    <t>CHOIX</t>
  </si>
  <si>
    <t>Nombre d'habitants [X]:</t>
  </si>
  <si>
    <t>Nombre de conteneurs de … [l] nécessaires</t>
  </si>
  <si>
    <t>Poids spécifique (densité) 
[kg/m3]</t>
  </si>
  <si>
    <t>Quantité de déchet annuelle par habitant 
[kg/hab/an]</t>
  </si>
  <si>
    <t>Nombre de ramassage hebdomadaire
[-]</t>
  </si>
  <si>
    <t>Quantité de déchet par habitant et par passage
[kg/hab/passage]</t>
  </si>
  <si>
    <t>Volume de déchet par habitant et par passage 
[l/hab/passage]</t>
  </si>
  <si>
    <t>Quantité de déchet par passage pour X habitants [kg/passage]</t>
  </si>
  <si>
    <t>Volume de déchet par passage pour X habitants 
[l/passage]</t>
  </si>
  <si>
    <t>Aluminium</t>
  </si>
  <si>
    <t>Poids spécifique (densité)</t>
  </si>
  <si>
    <t>Poids spécifique (densité) [kg/m3]</t>
  </si>
  <si>
    <t>Infrastructures communales</t>
  </si>
  <si>
    <t>Données de Madeleine</t>
  </si>
  <si>
    <t>Canton de Genève</t>
  </si>
  <si>
    <t>ADEME</t>
  </si>
  <si>
    <t>120-150</t>
  </si>
  <si>
    <t>250-300</t>
  </si>
  <si>
    <t>300-500</t>
  </si>
  <si>
    <t>150-300</t>
  </si>
  <si>
    <t>80-120</t>
  </si>
  <si>
    <t>http://infrastructures-communales.ch/fr/Info/Documentation/Dechets/dechettteries</t>
  </si>
  <si>
    <t xml:space="preserve">http://ge.ch/dechets/media/dechets/files/fichiers/documents/Publications/fiche_3-equipement_des_immeubles_neufs_selon_le_ralci.pdf </t>
  </si>
  <si>
    <r>
      <t xml:space="preserve">Entreprise, comment bien gérer vos déchets, 2004, ADEME
</t>
    </r>
    <r>
      <rPr>
        <u/>
        <sz val="7"/>
        <color rgb="FF0000FF"/>
        <rFont val="Calibri"/>
        <family val="2"/>
        <scheme val="minor"/>
      </rPr>
      <t xml:space="preserve">http://www2.ademe.fr/servlet/getDoc?sort=-1&amp;cid=96&amp;m=3&amp;id=22634&amp;ref=&amp;nocache=yes&amp;p1=111 </t>
    </r>
  </si>
  <si>
    <t>Nombre de conteneurs</t>
  </si>
  <si>
    <t>Surface totale [m2]*</t>
  </si>
  <si>
    <t>Caractéristiques des écopoints</t>
  </si>
  <si>
    <t>(si inconnu : laisser vide, voir ci-dessous pour estimation)</t>
  </si>
  <si>
    <t>Nombre d'habitants
retenus pour le calcul</t>
  </si>
  <si>
    <t>Nombre de conteneurs nécessaires (AVEC facteur de sécurité)</t>
  </si>
  <si>
    <t>à compléter dans l'onglet '3. Dimension prive en surface'</t>
  </si>
  <si>
    <t>Surface nécessaire</t>
  </si>
  <si>
    <t>enterré
(3'000 ou 5'000 l)</t>
  </si>
  <si>
    <t>en surface 360 l</t>
  </si>
  <si>
    <t>réserve
en surface 360 l</t>
  </si>
  <si>
    <t>réserve enterré</t>
  </si>
  <si>
    <t>Valeurs retenues
(choix possible)</t>
  </si>
  <si>
    <t>selon discussions Aby (01.2019)</t>
  </si>
  <si>
    <r>
      <t>min 3 x 3 m</t>
    </r>
    <r>
      <rPr>
        <vertAlign val="superscript"/>
        <sz val="9"/>
        <color theme="1"/>
        <rFont val="Calibri"/>
        <family val="2"/>
        <scheme val="minor"/>
      </rPr>
      <t xml:space="preserve">3 </t>
    </r>
    <r>
      <rPr>
        <sz val="9"/>
        <color theme="1"/>
        <rFont val="Calibri"/>
        <family val="2"/>
        <scheme val="minor"/>
      </rPr>
      <t>(3 types de verre)</t>
    </r>
  </si>
  <si>
    <t>Surface 
 [m2]</t>
  </si>
  <si>
    <t>Surface
 [m2]</t>
  </si>
  <si>
    <t>-&gt; Pour aménagement avec conteneurs enterrés pour tous types de déchets (écopoint)</t>
  </si>
  <si>
    <t>-&gt; Pour aménagement avec conteneurs enterrés pour les déchets collectés au porte à porte uniquement</t>
  </si>
  <si>
    <t>Les conteneurs de de réserve sont des conteneurs qui ne seront installés sur site que si les capacités de stockage sont insuffisantes, ils sont inclus dans le calcul de la surface pour pouvoir les installer a posteriori.</t>
  </si>
  <si>
    <t>seuls les 360 l sont utilisés dans les écopoints</t>
  </si>
  <si>
    <t>OM (porte à porte)</t>
  </si>
  <si>
    <t>Facteur de sécurité (qt déchets):</t>
  </si>
  <si>
    <t>Taux de remplissage des conteneurs:</t>
  </si>
  <si>
    <t>-&gt; Pour aménagement avec conteneurs en surface pour les déchets collectés au porte à porte uniquement</t>
  </si>
  <si>
    <t>en surface OM</t>
  </si>
  <si>
    <t>en surface DV</t>
  </si>
  <si>
    <t>en surface papier</t>
  </si>
  <si>
    <t>Nombre</t>
  </si>
  <si>
    <t>[m2]</t>
  </si>
  <si>
    <r>
      <t>Surface éco mesurée [m</t>
    </r>
    <r>
      <rPr>
        <b/>
        <vertAlign val="superscript"/>
        <sz val="11"/>
        <color theme="1"/>
        <rFont val="Calibri"/>
        <family val="2"/>
        <scheme val="minor"/>
      </rPr>
      <t>2</t>
    </r>
    <r>
      <rPr>
        <b/>
        <sz val="11"/>
        <color theme="1"/>
        <rFont val="Calibri"/>
        <family val="2"/>
        <scheme val="minor"/>
      </rPr>
      <t>]*</t>
    </r>
  </si>
  <si>
    <r>
      <t>Surface [m</t>
    </r>
    <r>
      <rPr>
        <b/>
        <vertAlign val="superscript"/>
        <sz val="11"/>
        <color theme="1"/>
        <rFont val="Calibri"/>
        <family val="2"/>
        <scheme val="minor"/>
      </rPr>
      <t>2</t>
    </r>
    <r>
      <rPr>
        <b/>
        <sz val="11"/>
        <color theme="1"/>
        <rFont val="Calibri"/>
        <family val="2"/>
        <scheme val="minor"/>
      </rPr>
      <t>]
avec place de dépose</t>
    </r>
  </si>
  <si>
    <t>* La surface globale du site est mesurée (conteneurs + espacement entre les conteneurs, sans l'éventuelle place de déchargement) + 15m2 pour la place de dépose si non mesurée</t>
  </si>
  <si>
    <t>écopoint public</t>
  </si>
  <si>
    <t>3 (2/1)</t>
  </si>
  <si>
    <t>3 (5/3)</t>
  </si>
  <si>
    <t>écopint privé: 350 hab (SDP 11'400 m2) + écopoint public (privé/ public)</t>
  </si>
  <si>
    <t>2 (1/1)</t>
  </si>
  <si>
    <t>=ANNEE(C4)</t>
  </si>
  <si>
    <t>Déchets végétaux  (porte à porte)</t>
  </si>
  <si>
    <t>Pour toutes questions sur l'aménagement, contacter le service de la voirie au 021.721.32.34 ou dtsi@pully.ch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</si>
</sst>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 &quot;kg/an&quot;"/>
    <numFmt numFmtId="166" formatCode="0\ &quot;m2&quot;"/>
    <numFmt numFmtId="167" formatCode="0\ &quot;kg/m3&quot;"/>
    <numFmt numFmtId="168" formatCode="#,##0\ \K\g"/>
    <numFmt numFmtId="169" formatCode="#,##0\ \l"/>
    <numFmt numFmtId="170" formatCode="#,###"/>
    <numFmt numFmtId="171" formatCode="#,##0.0\ \K\g"/>
    <numFmt numFmtId="172" formatCode="#,##0.0\ \l"/>
    <numFmt numFmtId="173" formatCode="0.0"/>
  </numFmts>
  <fonts count="55" x14ac:knownFonts="1">
    <font>
      <sz val="11"/>
      <color theme="1"/>
      <name val="Calibri"/>
      <family val="2"/>
      <scheme val="minor"/>
    </font>
    <font>
      <sz val="12"/>
      <name val="Arial"/>
      <family val="2"/>
    </font>
    <font>
      <sz val="12"/>
      <name val="Arial"/>
      <family val="2"/>
    </font>
    <font>
      <sz val="11"/>
      <color theme="1"/>
      <name val="Calibri"/>
      <family val="2"/>
      <scheme val="minor"/>
    </font>
    <font>
      <sz val="13"/>
      <name val="Times New Roman"/>
      <family val="1"/>
    </font>
    <font>
      <b/>
      <sz val="11"/>
      <color theme="0"/>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9"/>
      <color theme="10"/>
      <name val="Calibri"/>
      <family val="2"/>
      <scheme val="minor"/>
    </font>
    <font>
      <vertAlign val="superscript"/>
      <sz val="11"/>
      <color theme="1"/>
      <name val="Calibri"/>
      <family val="2"/>
      <scheme val="minor"/>
    </font>
    <font>
      <sz val="16"/>
      <color theme="1"/>
      <name val="Calibri"/>
      <family val="2"/>
      <scheme val="minor"/>
    </font>
    <font>
      <sz val="11"/>
      <color rgb="FF000000"/>
      <name val="Calibri"/>
      <family val="2"/>
      <scheme val="minor"/>
    </font>
    <font>
      <b/>
      <u/>
      <sz val="11"/>
      <color theme="1"/>
      <name val="Calibri"/>
      <family val="2"/>
      <scheme val="minor"/>
    </font>
    <font>
      <u/>
      <sz val="11"/>
      <color theme="1"/>
      <name val="Calibri"/>
      <family val="2"/>
      <scheme val="minor"/>
    </font>
    <font>
      <b/>
      <sz val="11"/>
      <color rgb="FF000000"/>
      <name val="Calibri"/>
      <family val="2"/>
      <scheme val="minor"/>
    </font>
    <font>
      <sz val="11"/>
      <color theme="0" tint="-0.34998626667073579"/>
      <name val="Calibri"/>
      <family val="2"/>
      <scheme val="minor"/>
    </font>
    <font>
      <i/>
      <sz val="11"/>
      <color theme="0" tint="-0.34998626667073579"/>
      <name val="Calibri"/>
      <family val="2"/>
      <scheme val="minor"/>
    </font>
    <font>
      <sz val="11"/>
      <color theme="0" tint="-0.249977111117893"/>
      <name val="Calibri"/>
      <family val="2"/>
      <scheme val="minor"/>
    </font>
    <font>
      <sz val="10"/>
      <color theme="0" tint="-0.249977111117893"/>
      <name val="Calibri"/>
      <family val="2"/>
      <scheme val="minor"/>
    </font>
    <font>
      <i/>
      <sz val="11"/>
      <color theme="0" tint="-0.249977111117893"/>
      <name val="Calibri"/>
      <family val="2"/>
      <scheme val="minor"/>
    </font>
    <font>
      <b/>
      <sz val="11"/>
      <name val="Calibri"/>
      <family val="2"/>
      <scheme val="minor"/>
    </font>
    <font>
      <i/>
      <sz val="11"/>
      <color rgb="FFFF0000"/>
      <name val="Calibri"/>
      <family val="2"/>
      <scheme val="minor"/>
    </font>
    <font>
      <sz val="11"/>
      <color rgb="FFFF0000"/>
      <name val="Calibri"/>
      <family val="2"/>
      <scheme val="minor"/>
    </font>
    <font>
      <sz val="11"/>
      <color theme="0"/>
      <name val="Calibri"/>
      <family val="2"/>
      <scheme val="minor"/>
    </font>
    <font>
      <sz val="9"/>
      <color theme="1"/>
      <name val="Calibri"/>
      <family val="2"/>
      <scheme val="minor"/>
    </font>
    <font>
      <sz val="10"/>
      <name val="Calibri"/>
      <family val="2"/>
      <scheme val="minor"/>
    </font>
    <font>
      <sz val="9"/>
      <name val="Calibri"/>
      <family val="2"/>
      <scheme val="minor"/>
    </font>
    <font>
      <b/>
      <sz val="9"/>
      <color theme="1"/>
      <name val="Calibri"/>
      <family val="2"/>
      <scheme val="minor"/>
    </font>
    <font>
      <b/>
      <sz val="9"/>
      <name val="Calibri"/>
      <family val="2"/>
      <scheme val="minor"/>
    </font>
    <font>
      <sz val="9"/>
      <color rgb="FFFF0000"/>
      <name val="Calibri"/>
      <family val="2"/>
      <scheme val="minor"/>
    </font>
    <font>
      <b/>
      <i/>
      <sz val="9"/>
      <color theme="1"/>
      <name val="Calibri"/>
      <family val="2"/>
      <scheme val="minor"/>
    </font>
    <font>
      <b/>
      <sz val="11"/>
      <color rgb="FFC00000"/>
      <name val="Calibri"/>
      <family val="2"/>
      <scheme val="minor"/>
    </font>
    <font>
      <b/>
      <sz val="9"/>
      <color theme="5" tint="-0.499984740745262"/>
      <name val="Calibri"/>
      <family val="2"/>
      <scheme val="minor"/>
    </font>
    <font>
      <b/>
      <sz val="10"/>
      <color rgb="FF000000"/>
      <name val="Arial"/>
      <family val="2"/>
    </font>
    <font>
      <sz val="9"/>
      <color theme="6" tint="-0.499984740745262"/>
      <name val="Calibri"/>
      <family val="2"/>
      <scheme val="minor"/>
    </font>
    <font>
      <sz val="11"/>
      <color theme="6" tint="-0.499984740745262"/>
      <name val="Calibri"/>
      <family val="2"/>
      <scheme val="minor"/>
    </font>
    <font>
      <b/>
      <vertAlign val="superscript"/>
      <sz val="11"/>
      <color theme="1"/>
      <name val="Calibri"/>
      <family val="2"/>
      <scheme val="minor"/>
    </font>
    <font>
      <sz val="8"/>
      <color theme="1"/>
      <name val="Calibri"/>
      <family val="2"/>
      <scheme val="minor"/>
    </font>
    <font>
      <vertAlign val="superscript"/>
      <sz val="9"/>
      <color theme="1"/>
      <name val="Calibri"/>
      <family val="2"/>
      <scheme val="minor"/>
    </font>
    <font>
      <b/>
      <sz val="11"/>
      <color rgb="FFFF0000"/>
      <name val="Calibri"/>
      <family val="2"/>
      <scheme val="minor"/>
    </font>
    <font>
      <sz val="11"/>
      <color rgb="FF006100"/>
      <name val="Calibri"/>
      <family val="2"/>
      <scheme val="minor"/>
    </font>
    <font>
      <sz val="11"/>
      <color rgb="FF9C6500"/>
      <name val="Calibri"/>
      <family val="2"/>
      <scheme val="minor"/>
    </font>
    <font>
      <b/>
      <sz val="11"/>
      <color theme="5" tint="-0.249977111117893"/>
      <name val="Calibri"/>
      <family val="2"/>
      <scheme val="minor"/>
    </font>
    <font>
      <i/>
      <sz val="9"/>
      <color theme="1"/>
      <name val="Calibri"/>
      <family val="2"/>
      <scheme val="minor"/>
    </font>
    <font>
      <i/>
      <sz val="8"/>
      <color theme="1"/>
      <name val="Calibri"/>
      <family val="2"/>
      <scheme val="minor"/>
    </font>
    <font>
      <b/>
      <sz val="9"/>
      <name val="Arial"/>
      <family val="2"/>
    </font>
    <font>
      <sz val="8"/>
      <name val="Arial"/>
      <family val="2"/>
    </font>
    <font>
      <u/>
      <sz val="7"/>
      <color theme="10"/>
      <name val="Calibri"/>
      <family val="2"/>
      <scheme val="minor"/>
    </font>
    <font>
      <sz val="7"/>
      <color theme="1"/>
      <name val="Calibri"/>
      <family val="2"/>
      <scheme val="minor"/>
    </font>
    <font>
      <u/>
      <sz val="7"/>
      <color rgb="FF0000FF"/>
      <name val="Calibri"/>
      <family val="2"/>
      <scheme val="minor"/>
    </font>
    <font>
      <b/>
      <sz val="9"/>
      <color theme="0"/>
      <name val="Calibri"/>
      <family val="2"/>
      <scheme val="minor"/>
    </font>
    <font>
      <b/>
      <strike/>
      <sz val="11"/>
      <color theme="1"/>
      <name val="Calibri"/>
      <family val="2"/>
      <scheme val="minor"/>
    </font>
    <font>
      <b/>
      <u/>
      <sz val="18"/>
      <color theme="1"/>
      <name val="Calibri"/>
      <family val="2"/>
      <scheme val="minor"/>
    </font>
  </fonts>
  <fills count="23">
    <fill>
      <patternFill patternType="none"/>
    </fill>
    <fill>
      <patternFill patternType="gray125"/>
    </fill>
    <fill>
      <patternFill patternType="solid">
        <fgColor theme="4" tint="-0.249977111117893"/>
        <bgColor indexed="64"/>
      </patternFill>
    </fill>
    <fill>
      <patternFill patternType="solid">
        <fgColor theme="0" tint="-4.9989318521683403E-2"/>
        <bgColor theme="0" tint="-4.9989318521683403E-2"/>
      </patternFill>
    </fill>
    <fill>
      <patternFill patternType="solid">
        <fgColor rgb="FFF7EAE9"/>
        <bgColor indexed="64"/>
      </patternFill>
    </fill>
    <fill>
      <patternFill patternType="solid">
        <fgColor theme="0"/>
        <bgColor indexed="64"/>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patternFill>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3"/>
        <bgColor indexed="64"/>
      </patternFill>
    </fill>
    <fill>
      <patternFill patternType="solid">
        <fgColor theme="2" tint="-9.9978637043366805E-2"/>
        <bgColor indexed="64"/>
      </patternFill>
    </fill>
    <fill>
      <patternFill patternType="lightUp">
        <fgColor theme="0" tint="-0.24994659260841701"/>
        <bgColor theme="0"/>
      </patternFill>
    </fill>
    <fill>
      <patternFill patternType="solid">
        <fgColor rgb="FFC6EFCE"/>
      </patternFill>
    </fill>
    <fill>
      <patternFill patternType="solid">
        <fgColor rgb="FFFFEB9C"/>
      </patternFill>
    </fill>
    <fill>
      <patternFill patternType="solid">
        <fgColor theme="0" tint="-4.9989318521683403E-2"/>
        <bgColor indexed="64"/>
      </patternFill>
    </fill>
    <fill>
      <patternFill patternType="lightDown">
        <bgColor theme="0"/>
      </patternFill>
    </fill>
    <fill>
      <patternFill patternType="solid">
        <fgColor theme="4"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thin">
        <color indexed="64"/>
      </right>
      <top/>
      <bottom/>
      <diagonal/>
    </border>
    <border>
      <left/>
      <right style="hair">
        <color indexed="64"/>
      </right>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top/>
      <bottom style="medium">
        <color indexed="64"/>
      </bottom>
      <diagonal/>
    </border>
    <border>
      <left/>
      <right style="double">
        <color theme="5" tint="-0.24994659260841701"/>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s>
  <cellStyleXfs count="11">
    <xf numFmtId="0" fontId="0" fillId="0" borderId="0"/>
    <xf numFmtId="0" fontId="1" fillId="0" borderId="0"/>
    <xf numFmtId="164" fontId="2" fillId="0" borderId="0" applyFont="0" applyFill="0" applyBorder="0" applyAlignment="0" applyProtection="0"/>
    <xf numFmtId="0" fontId="4" fillId="0" borderId="0"/>
    <xf numFmtId="0" fontId="6" fillId="0" borderId="0" applyNumberFormat="0" applyFill="0" applyBorder="0" applyAlignment="0" applyProtection="0"/>
    <xf numFmtId="0" fontId="3" fillId="6" borderId="0" applyNumberFormat="0" applyBorder="0" applyAlignment="0" applyProtection="0"/>
    <xf numFmtId="0" fontId="3" fillId="7" borderId="0" applyNumberFormat="0" applyBorder="0" applyAlignment="0" applyProtection="0"/>
    <xf numFmtId="0" fontId="25" fillId="8" borderId="0" applyNumberFormat="0" applyBorder="0" applyAlignment="0" applyProtection="0"/>
    <xf numFmtId="0" fontId="42" fillId="18" borderId="0" applyNumberFormat="0" applyBorder="0" applyAlignment="0" applyProtection="0"/>
    <xf numFmtId="0" fontId="43" fillId="19" borderId="0" applyNumberFormat="0" applyBorder="0" applyAlignment="0" applyProtection="0"/>
    <xf numFmtId="164" fontId="1" fillId="0" borderId="0" applyFont="0" applyFill="0" applyBorder="0" applyAlignment="0" applyProtection="0"/>
  </cellStyleXfs>
  <cellXfs count="360">
    <xf numFmtId="0" fontId="0" fillId="0" borderId="0" xfId="0"/>
    <xf numFmtId="0" fontId="0" fillId="0" borderId="0" xfId="0" applyProtection="1"/>
    <xf numFmtId="0" fontId="12" fillId="0" borderId="0" xfId="0" applyFont="1" applyAlignment="1" applyProtection="1">
      <alignment horizontal="left"/>
    </xf>
    <xf numFmtId="0" fontId="0" fillId="0" borderId="0" xfId="0" applyAlignment="1" applyProtection="1">
      <alignment horizontal="left"/>
    </xf>
    <xf numFmtId="0" fontId="0" fillId="0" borderId="10" xfId="0" applyBorder="1" applyProtection="1"/>
    <xf numFmtId="0" fontId="0" fillId="0" borderId="7" xfId="0" applyBorder="1" applyProtection="1"/>
    <xf numFmtId="0" fontId="0" fillId="0" borderId="0" xfId="0" applyAlignment="1" applyProtection="1">
      <alignment horizontal="right"/>
    </xf>
    <xf numFmtId="0" fontId="0" fillId="0" borderId="0" xfId="0" applyFill="1" applyProtection="1"/>
    <xf numFmtId="0" fontId="13" fillId="0" borderId="0" xfId="0" applyFont="1" applyProtection="1"/>
    <xf numFmtId="0" fontId="15" fillId="0" borderId="0" xfId="0" applyFont="1" applyProtection="1"/>
    <xf numFmtId="0" fontId="0" fillId="3" borderId="1" xfId="0" applyFont="1" applyFill="1" applyBorder="1" applyAlignment="1" applyProtection="1">
      <alignment horizontal="center" vertical="center" wrapText="1"/>
    </xf>
    <xf numFmtId="0" fontId="8" fillId="0" borderId="6" xfId="0" applyFont="1" applyBorder="1" applyAlignment="1" applyProtection="1">
      <alignment horizontal="center" wrapText="1"/>
    </xf>
    <xf numFmtId="0" fontId="3" fillId="0" borderId="1" xfId="0" applyFont="1" applyBorder="1" applyAlignment="1" applyProtection="1">
      <alignment horizontal="center" vertical="center" wrapText="1"/>
    </xf>
    <xf numFmtId="0" fontId="8" fillId="0" borderId="6" xfId="0" applyFont="1" applyBorder="1" applyAlignment="1" applyProtection="1">
      <alignment horizontal="center"/>
    </xf>
    <xf numFmtId="0" fontId="10" fillId="0" borderId="0" xfId="4" applyFont="1" applyAlignment="1" applyProtection="1">
      <alignment horizontal="left" vertical="center"/>
    </xf>
    <xf numFmtId="0" fontId="7" fillId="0" borderId="0" xfId="0" applyFont="1" applyAlignment="1" applyProtection="1">
      <alignment horizontal="right"/>
    </xf>
    <xf numFmtId="0" fontId="0" fillId="0" borderId="0" xfId="0" quotePrefix="1" applyProtection="1"/>
    <xf numFmtId="0" fontId="0" fillId="0" borderId="0" xfId="0" applyFont="1" applyFill="1" applyBorder="1" applyAlignment="1" applyProtection="1">
      <alignment horizontal="right" vertical="center" wrapText="1"/>
    </xf>
    <xf numFmtId="0" fontId="0" fillId="0" borderId="5" xfId="0" applyBorder="1" applyAlignment="1" applyProtection="1">
      <alignment horizontal="center"/>
    </xf>
    <xf numFmtId="0" fontId="9" fillId="0" borderId="0" xfId="0" applyFont="1" applyProtection="1"/>
    <xf numFmtId="0" fontId="0" fillId="0" borderId="3" xfId="0" applyBorder="1" applyProtection="1"/>
    <xf numFmtId="0" fontId="0" fillId="0" borderId="3" xfId="0" applyBorder="1" applyAlignment="1" applyProtection="1">
      <alignment horizontal="center"/>
    </xf>
    <xf numFmtId="0" fontId="0" fillId="0" borderId="2" xfId="0" applyBorder="1" applyProtection="1"/>
    <xf numFmtId="165" fontId="9" fillId="0" borderId="7" xfId="0" applyNumberFormat="1" applyFont="1" applyBorder="1" applyAlignment="1" applyProtection="1">
      <alignment horizontal="center"/>
    </xf>
    <xf numFmtId="0" fontId="0" fillId="0" borderId="0" xfId="0" applyBorder="1" applyProtection="1"/>
    <xf numFmtId="0" fontId="0" fillId="0" borderId="0" xfId="0" applyFill="1" applyBorder="1" applyProtection="1"/>
    <xf numFmtId="0" fontId="0" fillId="0" borderId="0" xfId="0" applyFill="1" applyBorder="1" applyAlignment="1" applyProtection="1">
      <alignment horizontal="center"/>
    </xf>
    <xf numFmtId="0" fontId="0" fillId="0" borderId="12" xfId="0" applyBorder="1" applyProtection="1"/>
    <xf numFmtId="0" fontId="9" fillId="0" borderId="0" xfId="0" applyFont="1" applyBorder="1" applyProtection="1"/>
    <xf numFmtId="0" fontId="17" fillId="0" borderId="0" xfId="0" applyFont="1" applyFill="1" applyProtection="1"/>
    <xf numFmtId="0" fontId="18" fillId="0" borderId="0" xfId="0" applyFont="1" applyFill="1" applyAlignment="1" applyProtection="1">
      <alignment horizontal="left"/>
    </xf>
    <xf numFmtId="0" fontId="8" fillId="0" borderId="0" xfId="0" applyFont="1" applyProtection="1"/>
    <xf numFmtId="0" fontId="0" fillId="0" borderId="11" xfId="0" applyBorder="1" applyAlignment="1" applyProtection="1">
      <alignment horizontal="right"/>
    </xf>
    <xf numFmtId="0" fontId="19" fillId="0" borderId="0" xfId="0" applyFont="1" applyProtection="1"/>
    <xf numFmtId="0" fontId="20" fillId="0" borderId="0" xfId="0" applyFont="1" applyAlignment="1" applyProtection="1">
      <alignment horizontal="left"/>
    </xf>
    <xf numFmtId="0" fontId="19" fillId="0" borderId="0" xfId="0" applyFont="1" applyAlignment="1" applyProtection="1">
      <alignment horizontal="left"/>
    </xf>
    <xf numFmtId="0" fontId="19" fillId="0" borderId="7" xfId="0" applyFont="1" applyBorder="1" applyAlignment="1" applyProtection="1">
      <alignment horizontal="left"/>
    </xf>
    <xf numFmtId="165" fontId="19" fillId="0" borderId="7" xfId="0" applyNumberFormat="1" applyFont="1" applyBorder="1" applyAlignment="1" applyProtection="1">
      <alignment horizontal="left"/>
    </xf>
    <xf numFmtId="0" fontId="19" fillId="5" borderId="0" xfId="0" applyFont="1" applyFill="1" applyAlignment="1" applyProtection="1">
      <alignment horizontal="left"/>
    </xf>
    <xf numFmtId="0" fontId="21" fillId="5" borderId="0" xfId="0" applyFont="1" applyFill="1" applyAlignment="1" applyProtection="1">
      <alignment horizontal="center"/>
    </xf>
    <xf numFmtId="165" fontId="21" fillId="5" borderId="0" xfId="0" applyNumberFormat="1" applyFont="1" applyFill="1" applyAlignment="1" applyProtection="1">
      <alignment horizontal="center"/>
    </xf>
    <xf numFmtId="167" fontId="21" fillId="5" borderId="0" xfId="0" applyNumberFormat="1" applyFont="1" applyFill="1" applyAlignment="1" applyProtection="1">
      <alignment horizontal="center"/>
    </xf>
    <xf numFmtId="0" fontId="19" fillId="5" borderId="0" xfId="0" applyFont="1" applyFill="1" applyProtection="1"/>
    <xf numFmtId="166" fontId="22" fillId="0" borderId="0" xfId="0" applyNumberFormat="1" applyFont="1" applyAlignment="1" applyProtection="1">
      <alignment horizontal="left"/>
    </xf>
    <xf numFmtId="0" fontId="23" fillId="5" borderId="0" xfId="0" applyFont="1" applyFill="1" applyAlignment="1" applyProtection="1">
      <alignment horizontal="left"/>
    </xf>
    <xf numFmtId="0" fontId="0" fillId="0" borderId="0" xfId="0" applyFont="1"/>
    <xf numFmtId="0" fontId="0" fillId="0" borderId="13" xfId="0" applyFont="1" applyBorder="1"/>
    <xf numFmtId="0" fontId="26" fillId="0" borderId="0" xfId="0" applyFont="1"/>
    <xf numFmtId="0" fontId="7" fillId="0" borderId="0" xfId="0" applyFont="1" applyAlignment="1">
      <alignment horizontal="center"/>
    </xf>
    <xf numFmtId="0" fontId="27" fillId="11" borderId="16" xfId="1" applyNumberFormat="1" applyFont="1" applyFill="1" applyBorder="1" applyAlignment="1" applyProtection="1">
      <alignment vertical="center"/>
      <protection locked="0"/>
    </xf>
    <xf numFmtId="168" fontId="28" fillId="0" borderId="17" xfId="1" applyNumberFormat="1" applyFont="1" applyFill="1" applyBorder="1" applyProtection="1">
      <protection locked="0"/>
    </xf>
    <xf numFmtId="168" fontId="28" fillId="0" borderId="18" xfId="1" applyNumberFormat="1" applyFont="1" applyFill="1" applyBorder="1" applyProtection="1">
      <protection locked="0"/>
    </xf>
    <xf numFmtId="168" fontId="28" fillId="0" borderId="19" xfId="1" applyNumberFormat="1" applyFont="1" applyFill="1" applyBorder="1" applyProtection="1">
      <protection locked="0"/>
    </xf>
    <xf numFmtId="0" fontId="27" fillId="11" borderId="20" xfId="1" applyNumberFormat="1" applyFont="1" applyFill="1" applyBorder="1" applyAlignment="1" applyProtection="1">
      <alignment vertical="center"/>
      <protection locked="0"/>
    </xf>
    <xf numFmtId="168" fontId="28" fillId="0" borderId="21" xfId="1" applyNumberFormat="1" applyFont="1" applyFill="1" applyBorder="1" applyProtection="1">
      <protection locked="0"/>
    </xf>
    <xf numFmtId="168" fontId="28" fillId="0" borderId="22" xfId="1" applyNumberFormat="1" applyFont="1" applyFill="1" applyBorder="1" applyProtection="1">
      <protection locked="0"/>
    </xf>
    <xf numFmtId="168" fontId="28" fillId="0" borderId="23" xfId="1" applyNumberFormat="1" applyFont="1" applyFill="1" applyBorder="1" applyProtection="1">
      <protection locked="0"/>
    </xf>
    <xf numFmtId="0" fontId="27" fillId="0" borderId="20" xfId="1" applyNumberFormat="1" applyFont="1" applyBorder="1" applyAlignment="1" applyProtection="1">
      <alignment vertical="center"/>
      <protection locked="0"/>
    </xf>
    <xf numFmtId="0" fontId="27" fillId="0" borderId="24" xfId="1" applyNumberFormat="1" applyFont="1" applyBorder="1" applyAlignment="1" applyProtection="1">
      <alignment horizontal="left" vertical="center"/>
      <protection locked="0"/>
    </xf>
    <xf numFmtId="168" fontId="28" fillId="0" borderId="25" xfId="1" applyNumberFormat="1" applyFont="1" applyFill="1" applyBorder="1" applyAlignment="1" applyProtection="1">
      <alignment horizontal="right"/>
      <protection locked="0"/>
    </xf>
    <xf numFmtId="168" fontId="28" fillId="0" borderId="26" xfId="1" applyNumberFormat="1" applyFont="1" applyFill="1" applyBorder="1" applyAlignment="1" applyProtection="1">
      <alignment horizontal="right"/>
      <protection locked="0"/>
    </xf>
    <xf numFmtId="168" fontId="28" fillId="0" borderId="27" xfId="1" applyNumberFormat="1" applyFont="1" applyFill="1" applyBorder="1" applyAlignment="1" applyProtection="1">
      <alignment horizontal="right"/>
      <protection locked="0"/>
    </xf>
    <xf numFmtId="0" fontId="28" fillId="11" borderId="28" xfId="1" applyNumberFormat="1" applyFont="1" applyFill="1" applyBorder="1" applyAlignment="1" applyProtection="1">
      <alignment vertical="center"/>
      <protection locked="0"/>
    </xf>
    <xf numFmtId="168" fontId="26" fillId="0" borderId="29" xfId="0" applyNumberFormat="1" applyFont="1" applyBorder="1"/>
    <xf numFmtId="168" fontId="26" fillId="0" borderId="30" xfId="0" applyNumberFormat="1" applyFont="1" applyBorder="1"/>
    <xf numFmtId="168" fontId="28" fillId="0" borderId="31" xfId="0" applyNumberFormat="1" applyFont="1" applyBorder="1"/>
    <xf numFmtId="168" fontId="28" fillId="0" borderId="32" xfId="0" applyNumberFormat="1" applyFont="1" applyBorder="1"/>
    <xf numFmtId="168" fontId="28" fillId="0" borderId="30" xfId="0" applyNumberFormat="1" applyFont="1" applyBorder="1"/>
    <xf numFmtId="168" fontId="28" fillId="0" borderId="33" xfId="0" applyNumberFormat="1" applyFont="1" applyBorder="1"/>
    <xf numFmtId="0" fontId="28" fillId="11" borderId="34" xfId="1" applyNumberFormat="1" applyFont="1" applyFill="1" applyBorder="1" applyAlignment="1" applyProtection="1">
      <alignment vertical="center"/>
      <protection locked="0"/>
    </xf>
    <xf numFmtId="168" fontId="26" fillId="0" borderId="11" xfId="0" applyNumberFormat="1" applyFont="1" applyBorder="1"/>
    <xf numFmtId="168" fontId="26" fillId="0" borderId="35" xfId="0" applyNumberFormat="1" applyFont="1" applyBorder="1"/>
    <xf numFmtId="168" fontId="28" fillId="0" borderId="36" xfId="0" applyNumberFormat="1" applyFont="1" applyBorder="1"/>
    <xf numFmtId="168" fontId="28" fillId="0" borderId="37" xfId="0" applyNumberFormat="1" applyFont="1" applyBorder="1"/>
    <xf numFmtId="168" fontId="28" fillId="0" borderId="35" xfId="0" applyNumberFormat="1" applyFont="1" applyBorder="1"/>
    <xf numFmtId="168" fontId="28" fillId="0" borderId="38" xfId="0" applyNumberFormat="1" applyFont="1" applyBorder="1"/>
    <xf numFmtId="0" fontId="28" fillId="11" borderId="39" xfId="1" applyNumberFormat="1" applyFont="1" applyFill="1" applyBorder="1" applyAlignment="1" applyProtection="1">
      <alignment vertical="center"/>
      <protection locked="0"/>
    </xf>
    <xf numFmtId="168" fontId="26" fillId="0" borderId="40" xfId="0" applyNumberFormat="1" applyFont="1" applyBorder="1"/>
    <xf numFmtId="168" fontId="26" fillId="0" borderId="41" xfId="0" applyNumberFormat="1" applyFont="1" applyBorder="1"/>
    <xf numFmtId="168" fontId="28" fillId="0" borderId="41" xfId="0" applyNumberFormat="1" applyFont="1" applyBorder="1"/>
    <xf numFmtId="168" fontId="28" fillId="0" borderId="42" xfId="0" applyNumberFormat="1" applyFont="1" applyBorder="1"/>
    <xf numFmtId="168" fontId="28" fillId="0" borderId="40" xfId="0" applyNumberFormat="1" applyFont="1" applyBorder="1"/>
    <xf numFmtId="168" fontId="28" fillId="0" borderId="43" xfId="0" applyNumberFormat="1" applyFont="1" applyBorder="1"/>
    <xf numFmtId="0" fontId="29" fillId="12" borderId="15" xfId="0" applyFont="1" applyFill="1" applyBorder="1"/>
    <xf numFmtId="0" fontId="29" fillId="0" borderId="0" xfId="0" applyFont="1"/>
    <xf numFmtId="0" fontId="8" fillId="0" borderId="0" xfId="0" applyFont="1"/>
    <xf numFmtId="0" fontId="31" fillId="0" borderId="0" xfId="0" applyFont="1"/>
    <xf numFmtId="0" fontId="0" fillId="0" borderId="47" xfId="0" applyFont="1" applyBorder="1"/>
    <xf numFmtId="0" fontId="0" fillId="0" borderId="48" xfId="0" applyFont="1" applyBorder="1"/>
    <xf numFmtId="0" fontId="0" fillId="0" borderId="49" xfId="0" applyFont="1" applyBorder="1"/>
    <xf numFmtId="0" fontId="0" fillId="0" borderId="50" xfId="0" applyFont="1" applyBorder="1"/>
    <xf numFmtId="0" fontId="32" fillId="0" borderId="3" xfId="0" applyFont="1" applyFill="1" applyBorder="1" applyAlignment="1">
      <alignment horizontal="center"/>
    </xf>
    <xf numFmtId="49" fontId="29" fillId="10" borderId="30" xfId="0" applyNumberFormat="1" applyFont="1" applyFill="1" applyBorder="1" applyAlignment="1">
      <alignment horizontal="center"/>
    </xf>
    <xf numFmtId="0" fontId="29" fillId="10" borderId="30" xfId="0" applyFont="1" applyFill="1" applyBorder="1" applyAlignment="1">
      <alignment horizontal="center"/>
    </xf>
    <xf numFmtId="0" fontId="33" fillId="0" borderId="51" xfId="0" applyFont="1" applyBorder="1" applyAlignment="1">
      <alignment horizontal="center"/>
    </xf>
    <xf numFmtId="0" fontId="0" fillId="0" borderId="0" xfId="0" applyFont="1" applyBorder="1"/>
    <xf numFmtId="0" fontId="0" fillId="0" borderId="52" xfId="0" applyFont="1" applyBorder="1"/>
    <xf numFmtId="0" fontId="28" fillId="10" borderId="53" xfId="1" applyNumberFormat="1" applyFont="1" applyFill="1" applyBorder="1" applyAlignment="1" applyProtection="1">
      <alignment vertical="center"/>
      <protection locked="0"/>
    </xf>
    <xf numFmtId="0" fontId="28" fillId="10" borderId="54" xfId="1" applyNumberFormat="1" applyFont="1" applyFill="1" applyBorder="1" applyAlignment="1" applyProtection="1">
      <alignment vertical="center"/>
      <protection locked="0"/>
    </xf>
    <xf numFmtId="168" fontId="34" fillId="10" borderId="30" xfId="5" applyNumberFormat="1" applyFont="1" applyFill="1" applyBorder="1"/>
    <xf numFmtId="168" fontId="7" fillId="0" borderId="0" xfId="0" applyNumberFormat="1" applyFont="1" applyAlignment="1">
      <alignment horizontal="left"/>
    </xf>
    <xf numFmtId="9" fontId="5" fillId="13" borderId="5" xfId="0" applyNumberFormat="1" applyFont="1" applyFill="1" applyBorder="1" applyAlignment="1">
      <alignment horizontal="center"/>
    </xf>
    <xf numFmtId="0" fontId="28" fillId="10" borderId="22" xfId="1" applyNumberFormat="1" applyFont="1" applyFill="1" applyBorder="1" applyAlignment="1" applyProtection="1">
      <alignment vertical="center"/>
      <protection locked="0"/>
    </xf>
    <xf numFmtId="0" fontId="28" fillId="10" borderId="21" xfId="1" applyNumberFormat="1" applyFont="1" applyFill="1" applyBorder="1" applyAlignment="1" applyProtection="1">
      <alignment vertical="center"/>
      <protection locked="0"/>
    </xf>
    <xf numFmtId="168" fontId="34" fillId="10" borderId="35" xfId="5" applyNumberFormat="1" applyFont="1" applyFill="1" applyBorder="1"/>
    <xf numFmtId="3" fontId="35" fillId="0" borderId="0" xfId="0" applyNumberFormat="1" applyFont="1"/>
    <xf numFmtId="0" fontId="36" fillId="10" borderId="22" xfId="1" applyNumberFormat="1" applyFont="1" applyFill="1" applyBorder="1" applyAlignment="1" applyProtection="1">
      <alignment vertical="center"/>
      <protection locked="0"/>
    </xf>
    <xf numFmtId="168" fontId="30" fillId="14" borderId="35" xfId="5" applyNumberFormat="1" applyFont="1" applyFill="1" applyBorder="1"/>
    <xf numFmtId="0" fontId="28" fillId="10" borderId="55" xfId="1" applyNumberFormat="1" applyFont="1" applyFill="1" applyBorder="1" applyAlignment="1" applyProtection="1">
      <alignment vertical="center"/>
      <protection locked="0"/>
    </xf>
    <xf numFmtId="0" fontId="28" fillId="10" borderId="56" xfId="1" applyNumberFormat="1" applyFont="1" applyFill="1" applyBorder="1" applyAlignment="1" applyProtection="1">
      <alignment vertical="center"/>
      <protection locked="0"/>
    </xf>
    <xf numFmtId="0" fontId="28" fillId="10" borderId="3" xfId="1" applyNumberFormat="1" applyFont="1" applyFill="1" applyBorder="1" applyAlignment="1" applyProtection="1">
      <alignment vertical="center"/>
      <protection locked="0"/>
    </xf>
    <xf numFmtId="168" fontId="34" fillId="10" borderId="57" xfId="5" applyNumberFormat="1" applyFont="1" applyFill="1" applyBorder="1"/>
    <xf numFmtId="0" fontId="32" fillId="0" borderId="3" xfId="0" applyFont="1" applyBorder="1" applyAlignment="1">
      <alignment horizontal="center"/>
    </xf>
    <xf numFmtId="49" fontId="26" fillId="0" borderId="0" xfId="0" applyNumberFormat="1" applyFont="1" applyAlignment="1">
      <alignment horizontal="center"/>
    </xf>
    <xf numFmtId="0" fontId="0" fillId="0" borderId="58" xfId="0" applyFont="1" applyBorder="1"/>
    <xf numFmtId="0" fontId="0" fillId="0" borderId="59" xfId="0" applyFont="1" applyBorder="1"/>
    <xf numFmtId="0" fontId="0" fillId="0" borderId="60" xfId="0" applyFont="1" applyBorder="1"/>
    <xf numFmtId="168" fontId="0" fillId="0" borderId="0" xfId="0" applyNumberFormat="1" applyFont="1"/>
    <xf numFmtId="168" fontId="37" fillId="9" borderId="0" xfId="7" applyNumberFormat="1" applyFont="1" applyFill="1"/>
    <xf numFmtId="0" fontId="5" fillId="15" borderId="0" xfId="0" applyFont="1" applyFill="1" applyBorder="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0" xfId="0" applyFill="1" applyBorder="1" applyAlignment="1">
      <alignment horizontal="center" vertical="center" wrapText="1"/>
    </xf>
    <xf numFmtId="0" fontId="7" fillId="16" borderId="0"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0" xfId="0" applyFill="1" applyBorder="1" applyAlignment="1">
      <alignment horizontal="center" vertical="center"/>
    </xf>
    <xf numFmtId="0" fontId="7" fillId="16" borderId="11" xfId="0" applyFont="1" applyFill="1" applyBorder="1" applyAlignment="1">
      <alignment horizontal="center" vertical="center"/>
    </xf>
    <xf numFmtId="0" fontId="0" fillId="0" borderId="30" xfId="0" applyFill="1" applyBorder="1" applyAlignment="1">
      <alignment horizontal="center" vertical="center"/>
    </xf>
    <xf numFmtId="0" fontId="7" fillId="0" borderId="30" xfId="0" applyFont="1" applyFill="1" applyBorder="1" applyAlignment="1">
      <alignment horizontal="center" vertical="center" wrapText="1"/>
    </xf>
    <xf numFmtId="0" fontId="7" fillId="16" borderId="30" xfId="0" applyFont="1" applyFill="1" applyBorder="1" applyAlignment="1">
      <alignment horizontal="center" vertical="center" wrapText="1"/>
    </xf>
    <xf numFmtId="0" fontId="0" fillId="0" borderId="0" xfId="0" applyAlignment="1">
      <alignment horizontal="right"/>
    </xf>
    <xf numFmtId="0" fontId="0" fillId="0" borderId="63" xfId="0" applyFill="1" applyBorder="1" applyAlignment="1">
      <alignment horizontal="center"/>
    </xf>
    <xf numFmtId="0" fontId="0" fillId="0" borderId="64" xfId="0" applyFill="1" applyBorder="1" applyAlignment="1">
      <alignment horizontal="center"/>
    </xf>
    <xf numFmtId="0" fontId="9" fillId="0" borderId="64" xfId="0" applyFont="1" applyFill="1" applyBorder="1" applyAlignment="1">
      <alignment horizontal="center"/>
    </xf>
    <xf numFmtId="0" fontId="24" fillId="17" borderId="65" xfId="0" applyFont="1" applyFill="1" applyBorder="1" applyAlignment="1">
      <alignment horizontal="center"/>
    </xf>
    <xf numFmtId="0" fontId="7" fillId="16" borderId="3" xfId="0" applyFont="1" applyFill="1" applyBorder="1" applyAlignment="1">
      <alignment horizontal="center"/>
    </xf>
    <xf numFmtId="0" fontId="0" fillId="0" borderId="66" xfId="0" quotePrefix="1" applyFill="1" applyBorder="1" applyAlignment="1">
      <alignment horizontal="center"/>
    </xf>
    <xf numFmtId="0" fontId="0" fillId="0" borderId="65" xfId="0" quotePrefix="1" applyFill="1" applyBorder="1" applyAlignment="1">
      <alignment horizontal="center"/>
    </xf>
    <xf numFmtId="0" fontId="0" fillId="17" borderId="64" xfId="0" applyFill="1" applyBorder="1" applyAlignment="1">
      <alignment horizontal="center"/>
    </xf>
    <xf numFmtId="0" fontId="0" fillId="17" borderId="65" xfId="0" applyFill="1" applyBorder="1" applyAlignment="1">
      <alignment horizontal="center"/>
    </xf>
    <xf numFmtId="0" fontId="7" fillId="16" borderId="67" xfId="0" applyFont="1" applyFill="1" applyBorder="1" applyAlignment="1">
      <alignment horizontal="center"/>
    </xf>
    <xf numFmtId="1" fontId="7" fillId="0" borderId="57" xfId="0" applyNumberFormat="1" applyFont="1" applyBorder="1" applyAlignment="1">
      <alignment horizontal="center"/>
    </xf>
    <xf numFmtId="1" fontId="7" fillId="16" borderId="57" xfId="0" applyNumberFormat="1" applyFont="1" applyFill="1" applyBorder="1" applyAlignment="1">
      <alignment horizontal="center"/>
    </xf>
    <xf numFmtId="0" fontId="39" fillId="0" borderId="0" xfId="0" applyFont="1"/>
    <xf numFmtId="0" fontId="0" fillId="0" borderId="66" xfId="0" applyFill="1" applyBorder="1" applyAlignment="1">
      <alignment horizontal="center"/>
    </xf>
    <xf numFmtId="0" fontId="0" fillId="0" borderId="65" xfId="0" applyFill="1" applyBorder="1" applyAlignment="1">
      <alignment horizontal="center"/>
    </xf>
    <xf numFmtId="1" fontId="22" fillId="0" borderId="1" xfId="0" applyNumberFormat="1" applyFont="1" applyBorder="1" applyAlignment="1">
      <alignment horizontal="center"/>
    </xf>
    <xf numFmtId="0" fontId="39" fillId="0" borderId="0" xfId="0" applyFont="1" applyFill="1" applyBorder="1" applyAlignment="1">
      <alignment horizontal="right"/>
    </xf>
    <xf numFmtId="1" fontId="7" fillId="0" borderId="1" xfId="0" applyNumberFormat="1" applyFont="1" applyBorder="1" applyAlignment="1">
      <alignment horizontal="center"/>
    </xf>
    <xf numFmtId="0" fontId="0" fillId="0" borderId="0" xfId="0" applyFill="1" applyBorder="1" applyAlignment="1">
      <alignment horizontal="right"/>
    </xf>
    <xf numFmtId="0" fontId="0" fillId="0" borderId="61" xfId="0" applyFill="1" applyBorder="1" applyAlignment="1">
      <alignment horizontal="center"/>
    </xf>
    <xf numFmtId="0" fontId="0" fillId="0" borderId="62" xfId="0" applyFill="1" applyBorder="1" applyAlignment="1">
      <alignment horizontal="center"/>
    </xf>
    <xf numFmtId="0" fontId="0" fillId="17" borderId="62" xfId="0" applyFill="1" applyBorder="1" applyAlignment="1">
      <alignment horizontal="center"/>
    </xf>
    <xf numFmtId="1" fontId="7" fillId="0" borderId="30" xfId="0" applyNumberFormat="1" applyFont="1" applyBorder="1" applyAlignment="1">
      <alignment horizontal="center"/>
    </xf>
    <xf numFmtId="0" fontId="0" fillId="0" borderId="0" xfId="0" applyFill="1" applyBorder="1" applyAlignment="1">
      <alignment horizontal="right" vertical="center"/>
    </xf>
    <xf numFmtId="0" fontId="0" fillId="0" borderId="65" xfId="0" quotePrefix="1" applyFill="1" applyBorder="1" applyAlignment="1">
      <alignment horizontal="center" vertical="center"/>
    </xf>
    <xf numFmtId="0" fontId="7" fillId="16" borderId="3" xfId="0" applyFont="1" applyFill="1" applyBorder="1" applyAlignment="1">
      <alignment horizontal="center" vertical="center"/>
    </xf>
    <xf numFmtId="0" fontId="7" fillId="16" borderId="67" xfId="0" applyFont="1" applyFill="1" applyBorder="1" applyAlignment="1">
      <alignment horizontal="center" vertical="center"/>
    </xf>
    <xf numFmtId="0" fontId="0" fillId="0" borderId="66" xfId="0" quotePrefix="1" applyFill="1" applyBorder="1" applyAlignment="1">
      <alignment horizontal="center" vertical="center"/>
    </xf>
    <xf numFmtId="0" fontId="0" fillId="0" borderId="66" xfId="0" applyFill="1" applyBorder="1" applyAlignment="1">
      <alignment horizontal="center" vertical="center"/>
    </xf>
    <xf numFmtId="0" fontId="0" fillId="0" borderId="57" xfId="0" applyBorder="1" applyAlignment="1">
      <alignment vertical="center"/>
    </xf>
    <xf numFmtId="1" fontId="7" fillId="0" borderId="1" xfId="0" applyNumberFormat="1" applyFont="1" applyBorder="1" applyAlignment="1">
      <alignment horizontal="center" vertical="center"/>
    </xf>
    <xf numFmtId="1" fontId="7" fillId="16" borderId="1" xfId="0" applyNumberFormat="1" applyFont="1" applyFill="1" applyBorder="1" applyAlignment="1">
      <alignment horizontal="center" vertical="center"/>
    </xf>
    <xf numFmtId="0" fontId="0" fillId="0" borderId="11" xfId="0" applyFill="1" applyBorder="1" applyAlignment="1">
      <alignment horizontal="right" vertical="center"/>
    </xf>
    <xf numFmtId="0" fontId="0" fillId="0" borderId="68" xfId="0" quotePrefix="1" applyFill="1" applyBorder="1" applyAlignment="1">
      <alignment horizontal="center" vertical="center"/>
    </xf>
    <xf numFmtId="0" fontId="7" fillId="16" borderId="69" xfId="0" applyFont="1" applyFill="1" applyBorder="1" applyAlignment="1">
      <alignment horizontal="center" vertical="center"/>
    </xf>
    <xf numFmtId="0" fontId="0" fillId="0" borderId="1" xfId="0" applyBorder="1" applyAlignment="1">
      <alignment vertical="center" wrapText="1"/>
    </xf>
    <xf numFmtId="1" fontId="7" fillId="16" borderId="1" xfId="0" applyNumberFormat="1" applyFont="1" applyFill="1" applyBorder="1" applyAlignment="1">
      <alignment horizontal="center" vertical="center" wrapText="1"/>
    </xf>
    <xf numFmtId="0" fontId="0" fillId="0" borderId="65" xfId="0" applyFill="1" applyBorder="1" applyAlignment="1">
      <alignment horizontal="center" vertical="center"/>
    </xf>
    <xf numFmtId="0" fontId="7" fillId="16" borderId="9" xfId="0" applyFont="1" applyFill="1" applyBorder="1" applyAlignment="1">
      <alignment horizontal="center" vertical="center"/>
    </xf>
    <xf numFmtId="0" fontId="0" fillId="0" borderId="1" xfId="0" applyBorder="1" applyAlignment="1">
      <alignment vertical="center"/>
    </xf>
    <xf numFmtId="0" fontId="28" fillId="0" borderId="0" xfId="0" applyFont="1" applyFill="1" applyBorder="1"/>
    <xf numFmtId="0" fontId="26" fillId="0" borderId="0" xfId="0" applyFont="1" applyAlignment="1">
      <alignment horizontal="left"/>
    </xf>
    <xf numFmtId="0" fontId="24" fillId="0" borderId="66"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65" xfId="0" quotePrefix="1" applyFont="1" applyFill="1" applyBorder="1" applyAlignment="1">
      <alignment horizontal="center" vertical="center"/>
    </xf>
    <xf numFmtId="0" fontId="41" fillId="16" borderId="3" xfId="0" applyFont="1" applyFill="1" applyBorder="1" applyAlignment="1">
      <alignment horizontal="center" vertical="center"/>
    </xf>
    <xf numFmtId="0" fontId="41" fillId="16" borderId="67" xfId="0" applyFont="1" applyFill="1" applyBorder="1" applyAlignment="1">
      <alignment horizontal="center" vertical="center"/>
    </xf>
    <xf numFmtId="1" fontId="41" fillId="16" borderId="1" xfId="0" applyNumberFormat="1" applyFont="1" applyFill="1" applyBorder="1" applyAlignment="1">
      <alignment horizontal="center" vertical="center"/>
    </xf>
    <xf numFmtId="0" fontId="5" fillId="13" borderId="0" xfId="0" applyFont="1" applyFill="1" applyAlignment="1">
      <alignment horizontal="left"/>
    </xf>
    <xf numFmtId="0" fontId="26" fillId="0" borderId="0" xfId="0" applyFont="1" applyAlignment="1">
      <alignment horizontal="right"/>
    </xf>
    <xf numFmtId="0" fontId="5" fillId="2" borderId="4" xfId="0" applyFont="1" applyFill="1" applyBorder="1"/>
    <xf numFmtId="9" fontId="5" fillId="13" borderId="0" xfId="0" applyNumberFormat="1" applyFont="1" applyFill="1" applyAlignment="1">
      <alignment horizontal="center"/>
    </xf>
    <xf numFmtId="0" fontId="0" fillId="0" borderId="0" xfId="0" applyAlignment="1">
      <alignment horizontal="left"/>
    </xf>
    <xf numFmtId="0" fontId="0" fillId="0" borderId="0" xfId="0" applyFill="1"/>
    <xf numFmtId="0" fontId="29" fillId="20" borderId="30"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0" fillId="0" borderId="70" xfId="0" applyBorder="1"/>
    <xf numFmtId="0" fontId="29" fillId="0" borderId="67" xfId="0" applyFont="1" applyBorder="1" applyAlignment="1">
      <alignment horizontal="center" wrapText="1"/>
    </xf>
    <xf numFmtId="169" fontId="29" fillId="20" borderId="30" xfId="0" applyNumberFormat="1" applyFont="1" applyFill="1" applyBorder="1" applyAlignment="1">
      <alignment horizontal="center" vertical="center" wrapText="1"/>
    </xf>
    <xf numFmtId="168" fontId="44" fillId="0" borderId="30" xfId="5" applyNumberFormat="1" applyFont="1" applyFill="1" applyBorder="1" applyAlignment="1">
      <alignment horizontal="center"/>
    </xf>
    <xf numFmtId="170" fontId="44" fillId="0" borderId="30" xfId="5" applyNumberFormat="1" applyFont="1" applyFill="1" applyBorder="1" applyAlignment="1">
      <alignment horizontal="center"/>
    </xf>
    <xf numFmtId="168" fontId="44" fillId="0" borderId="35" xfId="5" applyNumberFormat="1" applyFont="1" applyFill="1" applyBorder="1" applyAlignment="1">
      <alignment horizontal="center"/>
    </xf>
    <xf numFmtId="168" fontId="44" fillId="0" borderId="57" xfId="5" applyNumberFormat="1" applyFont="1" applyFill="1" applyBorder="1" applyAlignment="1">
      <alignment horizontal="center"/>
    </xf>
    <xf numFmtId="170" fontId="44" fillId="0" borderId="57" xfId="5" applyNumberFormat="1" applyFont="1" applyFill="1" applyBorder="1" applyAlignment="1">
      <alignment horizontal="center"/>
    </xf>
    <xf numFmtId="0" fontId="0" fillId="0" borderId="30" xfId="0" applyBorder="1"/>
    <xf numFmtId="0" fontId="0" fillId="0" borderId="29" xfId="0" applyBorder="1"/>
    <xf numFmtId="0" fontId="0" fillId="0" borderId="0" xfId="0" applyBorder="1"/>
    <xf numFmtId="0" fontId="26" fillId="0" borderId="0" xfId="0" applyFont="1" applyBorder="1" applyAlignment="1">
      <alignment vertical="top" wrapText="1"/>
    </xf>
    <xf numFmtId="0" fontId="26" fillId="0" borderId="0" xfId="0" applyFont="1" applyBorder="1" applyAlignment="1">
      <alignment vertical="top"/>
    </xf>
    <xf numFmtId="0" fontId="0" fillId="0" borderId="35" xfId="0" applyBorder="1"/>
    <xf numFmtId="168" fontId="45" fillId="0" borderId="35" xfId="5" applyNumberFormat="1" applyFont="1" applyFill="1" applyBorder="1"/>
    <xf numFmtId="0" fontId="0" fillId="0" borderId="11" xfId="0" applyBorder="1"/>
    <xf numFmtId="0" fontId="0" fillId="0" borderId="57" xfId="0" applyBorder="1"/>
    <xf numFmtId="168" fontId="45" fillId="0" borderId="57" xfId="5" applyNumberFormat="1" applyFont="1" applyFill="1" applyBorder="1"/>
    <xf numFmtId="0" fontId="0" fillId="0" borderId="67" xfId="0" applyBorder="1"/>
    <xf numFmtId="0" fontId="46" fillId="0" borderId="0" xfId="0" applyFont="1"/>
    <xf numFmtId="0" fontId="25" fillId="2" borderId="73" xfId="0" applyFont="1" applyFill="1" applyBorder="1"/>
    <xf numFmtId="0" fontId="25" fillId="2" borderId="74" xfId="0" applyFont="1" applyFill="1" applyBorder="1"/>
    <xf numFmtId="0" fontId="0" fillId="0" borderId="0" xfId="0" applyFill="1" applyBorder="1"/>
    <xf numFmtId="0" fontId="9" fillId="0" borderId="0" xfId="0" applyFont="1" applyFill="1"/>
    <xf numFmtId="0" fontId="26"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28" fillId="20" borderId="53" xfId="1" applyNumberFormat="1" applyFont="1" applyFill="1" applyBorder="1" applyAlignment="1" applyProtection="1">
      <alignment vertical="center"/>
      <protection locked="0"/>
    </xf>
    <xf numFmtId="0" fontId="28" fillId="20" borderId="75" xfId="1" applyNumberFormat="1" applyFont="1" applyFill="1" applyBorder="1" applyAlignment="1" applyProtection="1">
      <alignment vertical="center"/>
      <protection locked="0"/>
    </xf>
    <xf numFmtId="0" fontId="48" fillId="0" borderId="0" xfId="0" applyFont="1" applyFill="1" applyBorder="1" applyAlignment="1">
      <alignment horizontal="center"/>
    </xf>
    <xf numFmtId="0" fontId="39" fillId="0" borderId="0" xfId="0" applyFont="1" applyFill="1" applyBorder="1"/>
    <xf numFmtId="0" fontId="28" fillId="20" borderId="22" xfId="1" applyNumberFormat="1" applyFont="1" applyFill="1" applyBorder="1" applyAlignment="1" applyProtection="1">
      <alignment vertical="center"/>
      <protection locked="0"/>
    </xf>
    <xf numFmtId="0" fontId="28" fillId="20" borderId="55" xfId="1" applyNumberFormat="1" applyFont="1" applyFill="1" applyBorder="1" applyAlignment="1" applyProtection="1">
      <alignment vertical="center"/>
      <protection locked="0"/>
    </xf>
    <xf numFmtId="0" fontId="28" fillId="20" borderId="70" xfId="1" applyNumberFormat="1" applyFont="1" applyFill="1" applyBorder="1" applyAlignment="1" applyProtection="1">
      <alignment vertical="center"/>
      <protection locked="0"/>
    </xf>
    <xf numFmtId="0" fontId="28" fillId="20" borderId="11" xfId="1" applyNumberFormat="1" applyFont="1" applyFill="1" applyBorder="1" applyAlignment="1" applyProtection="1">
      <alignment vertical="center"/>
      <protection locked="0"/>
    </xf>
    <xf numFmtId="0" fontId="48" fillId="0" borderId="0" xfId="0" applyFont="1" applyFill="1" applyBorder="1"/>
    <xf numFmtId="0" fontId="28" fillId="20" borderId="26" xfId="1" applyNumberFormat="1" applyFont="1" applyFill="1" applyBorder="1" applyAlignment="1" applyProtection="1">
      <alignment vertical="center"/>
      <protection locked="0"/>
    </xf>
    <xf numFmtId="0" fontId="28" fillId="20" borderId="76" xfId="1" applyNumberFormat="1" applyFont="1" applyFill="1" applyBorder="1" applyAlignment="1" applyProtection="1">
      <alignment vertical="center"/>
      <protection locked="0"/>
    </xf>
    <xf numFmtId="0" fontId="26" fillId="0" borderId="57" xfId="0" applyFont="1" applyFill="1" applyBorder="1" applyAlignment="1">
      <alignment horizontal="right"/>
    </xf>
    <xf numFmtId="0" fontId="48" fillId="0" borderId="0" xfId="0" applyFont="1"/>
    <xf numFmtId="0" fontId="29" fillId="0" borderId="4" xfId="0" applyFont="1" applyBorder="1" applyAlignment="1">
      <alignment horizontal="right"/>
    </xf>
    <xf numFmtId="1" fontId="0" fillId="0" borderId="74" xfId="0" applyNumberFormat="1" applyBorder="1"/>
    <xf numFmtId="168" fontId="45" fillId="0" borderId="30" xfId="5" applyNumberFormat="1" applyFont="1" applyFill="1" applyBorder="1"/>
    <xf numFmtId="0" fontId="0" fillId="0" borderId="0" xfId="0" applyFill="1" applyBorder="1" applyAlignment="1" applyProtection="1">
      <alignment horizontal="right"/>
    </xf>
    <xf numFmtId="0" fontId="5" fillId="0" borderId="0" xfId="0" applyFont="1" applyFill="1" applyAlignment="1">
      <alignment horizontal="left"/>
    </xf>
    <xf numFmtId="0" fontId="49" fillId="0" borderId="0" xfId="4" applyFont="1" applyFill="1" applyBorder="1" applyAlignment="1">
      <alignment horizontal="right" vertical="top" wrapText="1"/>
    </xf>
    <xf numFmtId="0" fontId="0" fillId="0" borderId="0" xfId="0" applyAlignment="1">
      <alignment vertical="top"/>
    </xf>
    <xf numFmtId="0" fontId="49" fillId="0" borderId="0" xfId="4" applyFont="1" applyAlignment="1">
      <alignment vertical="top" wrapText="1"/>
    </xf>
    <xf numFmtId="0" fontId="50" fillId="0" borderId="0" xfId="0" applyFont="1" applyAlignment="1">
      <alignment vertical="top" wrapText="1"/>
    </xf>
    <xf numFmtId="0" fontId="25" fillId="15" borderId="8" xfId="0" applyFont="1" applyFill="1" applyBorder="1" applyProtection="1"/>
    <xf numFmtId="0" fontId="25" fillId="15" borderId="2" xfId="0" applyFont="1" applyFill="1" applyBorder="1" applyProtection="1"/>
    <xf numFmtId="0" fontId="25" fillId="15" borderId="9" xfId="0" applyFont="1" applyFill="1" applyBorder="1" applyProtection="1"/>
    <xf numFmtId="0" fontId="5" fillId="15" borderId="4" xfId="0" applyFont="1" applyFill="1" applyBorder="1" applyAlignment="1" applyProtection="1">
      <alignment vertical="center"/>
    </xf>
    <xf numFmtId="0" fontId="26" fillId="0" borderId="0" xfId="0" applyFont="1" applyFill="1"/>
    <xf numFmtId="173" fontId="52" fillId="13" borderId="79" xfId="8" applyNumberFormat="1" applyFont="1" applyFill="1" applyBorder="1" applyAlignment="1">
      <alignment vertical="center"/>
    </xf>
    <xf numFmtId="173" fontId="0" fillId="0" borderId="0" xfId="0" applyNumberFormat="1" applyFill="1"/>
    <xf numFmtId="169" fontId="26" fillId="20" borderId="77" xfId="0" applyNumberFormat="1" applyFont="1" applyFill="1" applyBorder="1" applyAlignment="1">
      <alignment horizontal="right"/>
    </xf>
    <xf numFmtId="1" fontId="0" fillId="0" borderId="80" xfId="0" applyNumberFormat="1" applyBorder="1"/>
    <xf numFmtId="0" fontId="29" fillId="20" borderId="9" xfId="0" applyFont="1" applyFill="1" applyBorder="1" applyAlignment="1">
      <alignment horizontal="center" wrapText="1"/>
    </xf>
    <xf numFmtId="169" fontId="26" fillId="20" borderId="35" xfId="0" applyNumberFormat="1" applyFont="1" applyFill="1" applyBorder="1" applyAlignment="1">
      <alignment horizontal="right" wrapText="1"/>
    </xf>
    <xf numFmtId="0" fontId="29" fillId="0" borderId="82" xfId="0" applyFont="1" applyBorder="1" applyAlignment="1">
      <alignment horizontal="right"/>
    </xf>
    <xf numFmtId="1" fontId="0" fillId="0" borderId="83" xfId="0" applyNumberFormat="1" applyBorder="1"/>
    <xf numFmtId="173" fontId="26" fillId="0" borderId="84" xfId="0" applyNumberFormat="1" applyFont="1" applyBorder="1"/>
    <xf numFmtId="0" fontId="26" fillId="0" borderId="85" xfId="0" applyFont="1" applyFill="1" applyBorder="1" applyAlignment="1">
      <alignment horizontal="right"/>
    </xf>
    <xf numFmtId="168" fontId="44" fillId="0" borderId="85" xfId="5" applyNumberFormat="1" applyFont="1" applyFill="1" applyBorder="1" applyAlignment="1">
      <alignment horizontal="center"/>
    </xf>
    <xf numFmtId="170" fontId="44" fillId="0" borderId="85" xfId="5" applyNumberFormat="1" applyFont="1" applyFill="1" applyBorder="1" applyAlignment="1">
      <alignment horizontal="center"/>
    </xf>
    <xf numFmtId="0" fontId="28" fillId="9" borderId="77" xfId="9" applyFont="1" applyFill="1" applyBorder="1" applyAlignment="1">
      <alignment horizontal="right"/>
    </xf>
    <xf numFmtId="0" fontId="28" fillId="9" borderId="85" xfId="9" applyFont="1" applyFill="1" applyBorder="1" applyAlignment="1">
      <alignment horizontal="right"/>
    </xf>
    <xf numFmtId="0" fontId="28" fillId="9" borderId="35" xfId="9" applyFont="1" applyFill="1" applyBorder="1" applyAlignment="1">
      <alignment horizontal="right"/>
    </xf>
    <xf numFmtId="0" fontId="26" fillId="0" borderId="55" xfId="0" applyFont="1" applyFill="1" applyBorder="1" applyAlignment="1">
      <alignment horizontal="right"/>
    </xf>
    <xf numFmtId="0" fontId="28" fillId="0" borderId="55" xfId="0" applyFont="1" applyFill="1" applyBorder="1" applyAlignment="1">
      <alignment horizontal="center"/>
    </xf>
    <xf numFmtId="0" fontId="26" fillId="20" borderId="8" xfId="0" applyFont="1" applyFill="1" applyBorder="1" applyAlignment="1">
      <alignment horizontal="center" vertical="center" wrapText="1"/>
    </xf>
    <xf numFmtId="0" fontId="26" fillId="20" borderId="1" xfId="0" applyFont="1" applyFill="1" applyBorder="1" applyAlignment="1">
      <alignment horizontal="center" vertical="center" wrapText="1"/>
    </xf>
    <xf numFmtId="0" fontId="26" fillId="20" borderId="9" xfId="0" applyFont="1" applyFill="1" applyBorder="1" applyAlignment="1">
      <alignment horizontal="center" vertical="center" wrapText="1"/>
    </xf>
    <xf numFmtId="0" fontId="29" fillId="20" borderId="9" xfId="0" applyFont="1" applyFill="1" applyBorder="1" applyAlignment="1">
      <alignment horizontal="center" vertical="center" wrapText="1"/>
    </xf>
    <xf numFmtId="0" fontId="8" fillId="0" borderId="0" xfId="0" applyFont="1" applyFill="1" applyBorder="1"/>
    <xf numFmtId="173" fontId="7" fillId="9" borderId="77" xfId="0" applyNumberFormat="1" applyFont="1" applyFill="1" applyBorder="1" applyAlignment="1">
      <alignment horizontal="right"/>
    </xf>
    <xf numFmtId="173" fontId="53" fillId="0" borderId="85" xfId="0" applyNumberFormat="1" applyFont="1" applyFill="1" applyBorder="1" applyAlignment="1">
      <alignment horizontal="right"/>
    </xf>
    <xf numFmtId="173" fontId="41" fillId="0" borderId="85" xfId="0" applyNumberFormat="1" applyFont="1" applyFill="1" applyBorder="1" applyAlignment="1">
      <alignment horizontal="right"/>
    </xf>
    <xf numFmtId="173" fontId="7" fillId="9" borderId="85" xfId="0" applyNumberFormat="1" applyFont="1" applyFill="1" applyBorder="1" applyAlignment="1">
      <alignment horizontal="right"/>
    </xf>
    <xf numFmtId="173" fontId="7" fillId="9" borderId="35" xfId="0" applyNumberFormat="1" applyFont="1" applyFill="1" applyBorder="1" applyAlignment="1">
      <alignment horizontal="right"/>
    </xf>
    <xf numFmtId="173" fontId="7" fillId="9" borderId="35" xfId="0" quotePrefix="1" applyNumberFormat="1" applyFont="1" applyFill="1" applyBorder="1" applyAlignment="1">
      <alignment horizontal="right"/>
    </xf>
    <xf numFmtId="173" fontId="7" fillId="0" borderId="85" xfId="0" applyNumberFormat="1" applyFont="1" applyFill="1" applyBorder="1" applyAlignment="1">
      <alignment horizontal="right"/>
    </xf>
    <xf numFmtId="173" fontId="7" fillId="0" borderId="85" xfId="0" quotePrefix="1" applyNumberFormat="1" applyFont="1" applyFill="1" applyBorder="1" applyAlignment="1">
      <alignment horizontal="right"/>
    </xf>
    <xf numFmtId="173" fontId="7" fillId="0" borderId="57" xfId="0" applyNumberFormat="1" applyFont="1" applyFill="1" applyBorder="1" applyAlignment="1">
      <alignment horizontal="right"/>
    </xf>
    <xf numFmtId="173" fontId="7" fillId="0" borderId="57" xfId="0" quotePrefix="1" applyNumberFormat="1" applyFont="1" applyFill="1" applyBorder="1" applyAlignment="1">
      <alignment horizontal="right"/>
    </xf>
    <xf numFmtId="173" fontId="7" fillId="0" borderId="67" xfId="0" applyNumberFormat="1" applyFont="1" applyFill="1" applyBorder="1" applyAlignment="1">
      <alignment horizontal="right"/>
    </xf>
    <xf numFmtId="173" fontId="52" fillId="13" borderId="78" xfId="8" applyNumberFormat="1" applyFont="1" applyFill="1" applyBorder="1" applyAlignment="1">
      <alignment vertical="center"/>
    </xf>
    <xf numFmtId="169" fontId="26" fillId="20" borderId="78" xfId="0" applyNumberFormat="1" applyFont="1" applyFill="1" applyBorder="1" applyAlignment="1">
      <alignment horizontal="right" wrapText="1"/>
    </xf>
    <xf numFmtId="169" fontId="26" fillId="20" borderId="85" xfId="0" applyNumberFormat="1" applyFont="1" applyFill="1" applyBorder="1" applyAlignment="1">
      <alignment horizontal="right" wrapText="1"/>
    </xf>
    <xf numFmtId="173" fontId="52" fillId="13" borderId="35" xfId="8" applyNumberFormat="1" applyFont="1" applyFill="1" applyBorder="1" applyAlignment="1">
      <alignment vertical="center"/>
    </xf>
    <xf numFmtId="169" fontId="26" fillId="20" borderId="79" xfId="0" applyNumberFormat="1" applyFont="1" applyFill="1" applyBorder="1" applyAlignment="1">
      <alignment horizontal="right" wrapText="1"/>
    </xf>
    <xf numFmtId="0" fontId="29" fillId="20" borderId="8" xfId="0" applyFont="1" applyFill="1" applyBorder="1" applyAlignment="1">
      <alignment horizontal="center" vertical="center" wrapText="1"/>
    </xf>
    <xf numFmtId="173" fontId="26" fillId="0" borderId="75" xfId="0" applyNumberFormat="1" applyFont="1" applyBorder="1"/>
    <xf numFmtId="0" fontId="0" fillId="0" borderId="86" xfId="0" applyBorder="1"/>
    <xf numFmtId="0" fontId="0" fillId="0" borderId="87" xfId="0" applyBorder="1"/>
    <xf numFmtId="173" fontId="29" fillId="0" borderId="78" xfId="0" applyNumberFormat="1" applyFont="1" applyBorder="1"/>
    <xf numFmtId="173" fontId="29" fillId="0" borderId="77" xfId="0" applyNumberFormat="1" applyFont="1" applyBorder="1"/>
    <xf numFmtId="0" fontId="0" fillId="0" borderId="0" xfId="0" quotePrefix="1" applyFont="1"/>
    <xf numFmtId="168" fontId="44" fillId="0" borderId="79" xfId="5" applyNumberFormat="1" applyFont="1" applyFill="1" applyBorder="1" applyAlignment="1">
      <alignment horizontal="center"/>
    </xf>
    <xf numFmtId="168" fontId="44" fillId="0" borderId="81" xfId="5" applyNumberFormat="1" applyFont="1" applyFill="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78" xfId="0" applyFont="1" applyBorder="1" applyAlignment="1">
      <alignment horizontal="center"/>
    </xf>
    <xf numFmtId="0" fontId="26" fillId="0" borderId="11" xfId="0" applyFont="1" applyFill="1" applyBorder="1" applyAlignment="1">
      <alignment horizontal="center"/>
    </xf>
    <xf numFmtId="0" fontId="26" fillId="0" borderId="0" xfId="0" applyFont="1" applyBorder="1" applyAlignment="1">
      <alignment horizontal="center"/>
    </xf>
    <xf numFmtId="0" fontId="26" fillId="0" borderId="35" xfId="0" applyFont="1" applyBorder="1" applyAlignment="1">
      <alignment horizontal="center"/>
    </xf>
    <xf numFmtId="0" fontId="26" fillId="0" borderId="55" xfId="0" applyFont="1" applyFill="1" applyBorder="1" applyAlignment="1">
      <alignment horizontal="center"/>
    </xf>
    <xf numFmtId="0" fontId="26" fillId="0" borderId="21" xfId="0" applyFont="1" applyBorder="1" applyAlignment="1">
      <alignment horizontal="center"/>
    </xf>
    <xf numFmtId="0" fontId="26" fillId="0" borderId="85" xfId="0" applyFont="1" applyFill="1" applyBorder="1" applyAlignment="1">
      <alignment horizontal="center"/>
    </xf>
    <xf numFmtId="0" fontId="26" fillId="0" borderId="85" xfId="0" applyFont="1" applyBorder="1" applyAlignment="1">
      <alignment horizontal="center"/>
    </xf>
    <xf numFmtId="0" fontId="26" fillId="0" borderId="57" xfId="0" applyFont="1" applyFill="1" applyBorder="1" applyAlignment="1">
      <alignment horizontal="center"/>
    </xf>
    <xf numFmtId="0" fontId="26" fillId="0" borderId="3" xfId="0" applyFont="1" applyBorder="1" applyAlignment="1">
      <alignment horizontal="center"/>
    </xf>
    <xf numFmtId="0" fontId="26" fillId="0" borderId="57" xfId="0" applyFont="1" applyBorder="1" applyAlignment="1">
      <alignment horizontal="center"/>
    </xf>
    <xf numFmtId="0" fontId="28" fillId="0" borderId="29" xfId="0" applyFont="1" applyFill="1" applyBorder="1" applyAlignment="1">
      <alignment horizontal="center"/>
    </xf>
    <xf numFmtId="171" fontId="26" fillId="0" borderId="35" xfId="5" applyNumberFormat="1" applyFont="1" applyFill="1" applyBorder="1" applyAlignment="1">
      <alignment horizontal="center"/>
    </xf>
    <xf numFmtId="172" fontId="26" fillId="0" borderId="35" xfId="5" applyNumberFormat="1" applyFont="1" applyFill="1" applyBorder="1" applyAlignment="1">
      <alignment horizontal="center"/>
    </xf>
    <xf numFmtId="169" fontId="26" fillId="0" borderId="35" xfId="5" applyNumberFormat="1" applyFont="1" applyFill="1" applyBorder="1" applyAlignment="1">
      <alignment horizontal="center"/>
    </xf>
    <xf numFmtId="171" fontId="26" fillId="0" borderId="85" xfId="5" applyNumberFormat="1" applyFont="1" applyFill="1" applyBorder="1" applyAlignment="1">
      <alignment horizontal="center"/>
    </xf>
    <xf numFmtId="172" fontId="26" fillId="0" borderId="85" xfId="5" applyNumberFormat="1" applyFont="1" applyFill="1" applyBorder="1" applyAlignment="1">
      <alignment horizontal="center"/>
    </xf>
    <xf numFmtId="169" fontId="26" fillId="0" borderId="85" xfId="5" applyNumberFormat="1" applyFont="1" applyFill="1" applyBorder="1" applyAlignment="1">
      <alignment horizontal="center"/>
    </xf>
    <xf numFmtId="0" fontId="28" fillId="0" borderId="57" xfId="0" applyFont="1" applyFill="1" applyBorder="1" applyAlignment="1">
      <alignment horizontal="center"/>
    </xf>
    <xf numFmtId="169" fontId="26" fillId="0" borderId="57" xfId="5" applyNumberFormat="1" applyFont="1" applyFill="1" applyBorder="1" applyAlignment="1">
      <alignment horizontal="center"/>
    </xf>
    <xf numFmtId="0" fontId="0" fillId="0" borderId="89" xfId="0" applyBorder="1"/>
    <xf numFmtId="169" fontId="26" fillId="20" borderId="88" xfId="0" applyNumberFormat="1" applyFont="1" applyFill="1" applyBorder="1" applyAlignment="1">
      <alignment horizontal="right" wrapText="1"/>
    </xf>
    <xf numFmtId="173" fontId="52" fillId="13" borderId="88" xfId="8" applyNumberFormat="1" applyFont="1" applyFill="1" applyBorder="1" applyAlignment="1">
      <alignment vertical="center"/>
    </xf>
    <xf numFmtId="173" fontId="26" fillId="0" borderId="90" xfId="0" applyNumberFormat="1" applyFont="1" applyBorder="1"/>
    <xf numFmtId="0" fontId="22" fillId="21" borderId="1" xfId="0" applyNumberFormat="1" applyFont="1" applyFill="1" applyBorder="1" applyAlignment="1">
      <alignment horizontal="center"/>
    </xf>
    <xf numFmtId="173" fontId="0" fillId="0" borderId="0" xfId="0" applyNumberFormat="1"/>
    <xf numFmtId="17" fontId="3" fillId="22" borderId="14" xfId="6" applyNumberFormat="1" applyFill="1" applyBorder="1" applyAlignment="1">
      <alignment horizontal="center"/>
    </xf>
    <xf numFmtId="1" fontId="0" fillId="0" borderId="0" xfId="0" applyNumberFormat="1" applyBorder="1"/>
    <xf numFmtId="0" fontId="29" fillId="0" borderId="0" xfId="0" applyFont="1" applyBorder="1" applyAlignment="1">
      <alignment horizontal="right"/>
    </xf>
    <xf numFmtId="0" fontId="0" fillId="0" borderId="0" xfId="0"/>
    <xf numFmtId="173" fontId="29" fillId="0" borderId="77" xfId="0" applyNumberFormat="1" applyFont="1" applyFill="1" applyBorder="1"/>
    <xf numFmtId="0" fontId="0" fillId="0" borderId="3" xfId="0" applyBorder="1"/>
    <xf numFmtId="0" fontId="26" fillId="0" borderId="4" xfId="0" applyFont="1" applyBorder="1" applyAlignment="1">
      <alignment horizontal="right"/>
    </xf>
    <xf numFmtId="0" fontId="0" fillId="0" borderId="0" xfId="0" applyFont="1" applyProtection="1"/>
    <xf numFmtId="0" fontId="0" fillId="0" borderId="57" xfId="0" applyFill="1" applyBorder="1" applyAlignment="1">
      <alignment horizontal="left"/>
    </xf>
    <xf numFmtId="0" fontId="0" fillId="0" borderId="30" xfId="0" applyFill="1" applyBorder="1" applyAlignment="1">
      <alignment wrapText="1"/>
    </xf>
    <xf numFmtId="0" fontId="25" fillId="0" borderId="0" xfId="0" applyFont="1" applyAlignment="1" applyProtection="1">
      <alignment wrapText="1"/>
    </xf>
    <xf numFmtId="0" fontId="25" fillId="0" borderId="0" xfId="0" applyFont="1" applyAlignment="1" applyProtection="1">
      <alignment horizontal="center"/>
    </xf>
    <xf numFmtId="0" fontId="13" fillId="0" borderId="0" xfId="0" applyFont="1" applyAlignment="1" applyProtection="1">
      <alignment horizontal="left" vertical="center"/>
    </xf>
    <xf numFmtId="0" fontId="9" fillId="0" borderId="0"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protection locked="0"/>
    </xf>
    <xf numFmtId="0" fontId="54" fillId="0" borderId="0" xfId="0" applyFont="1" applyAlignment="1">
      <alignment horizontal="center" vertical="center"/>
    </xf>
    <xf numFmtId="0" fontId="30" fillId="12" borderId="44" xfId="0" applyFont="1" applyFill="1" applyBorder="1" applyAlignment="1">
      <alignment horizontal="center"/>
    </xf>
    <xf numFmtId="0" fontId="30" fillId="12" borderId="45" xfId="0" applyFont="1" applyFill="1" applyBorder="1" applyAlignment="1">
      <alignment horizontal="center"/>
    </xf>
    <xf numFmtId="0" fontId="30" fillId="12" borderId="46" xfId="0" applyFont="1" applyFill="1" applyBorder="1" applyAlignment="1">
      <alignment horizontal="center"/>
    </xf>
    <xf numFmtId="0" fontId="28" fillId="20" borderId="22" xfId="1" applyNumberFormat="1" applyFont="1" applyFill="1" applyBorder="1" applyAlignment="1" applyProtection="1">
      <alignment vertical="center"/>
      <protection locked="0"/>
    </xf>
    <xf numFmtId="0" fontId="28" fillId="20" borderId="55" xfId="1" applyNumberFormat="1" applyFont="1" applyFill="1" applyBorder="1" applyAlignment="1" applyProtection="1">
      <alignment vertical="center"/>
      <protection locked="0"/>
    </xf>
    <xf numFmtId="0" fontId="29" fillId="20" borderId="8" xfId="0" applyFont="1" applyFill="1" applyBorder="1" applyAlignment="1">
      <alignment horizontal="center" wrapText="1"/>
    </xf>
    <xf numFmtId="0" fontId="29" fillId="20" borderId="2" xfId="0" applyFont="1" applyFill="1" applyBorder="1" applyAlignment="1">
      <alignment horizontal="center" wrapText="1"/>
    </xf>
    <xf numFmtId="0" fontId="29" fillId="20" borderId="9" xfId="0" applyFont="1" applyFill="1" applyBorder="1" applyAlignment="1">
      <alignment horizontal="center" wrapText="1"/>
    </xf>
    <xf numFmtId="0" fontId="28" fillId="20" borderId="53" xfId="1" applyNumberFormat="1" applyFont="1" applyFill="1" applyBorder="1" applyAlignment="1" applyProtection="1">
      <alignment vertical="center"/>
      <protection locked="0"/>
    </xf>
    <xf numFmtId="0" fontId="28" fillId="20" borderId="75" xfId="1" applyNumberFormat="1" applyFont="1" applyFill="1" applyBorder="1" applyAlignment="1" applyProtection="1">
      <alignment vertical="center"/>
      <protection locked="0"/>
    </xf>
    <xf numFmtId="0" fontId="28" fillId="20" borderId="70" xfId="1" applyNumberFormat="1" applyFont="1" applyFill="1" applyBorder="1" applyAlignment="1" applyProtection="1">
      <alignment vertical="center"/>
      <protection locked="0"/>
    </xf>
    <xf numFmtId="0" fontId="28" fillId="20" borderId="11" xfId="1" applyNumberFormat="1" applyFont="1" applyFill="1" applyBorder="1" applyAlignment="1" applyProtection="1">
      <alignment vertical="center"/>
      <protection locked="0"/>
    </xf>
    <xf numFmtId="0" fontId="47" fillId="20" borderId="8" xfId="0" applyFont="1" applyFill="1" applyBorder="1" applyAlignment="1">
      <alignment horizontal="center" vertical="center" wrapText="1"/>
    </xf>
    <xf numFmtId="0" fontId="47" fillId="20" borderId="9" xfId="0" applyFont="1" applyFill="1" applyBorder="1" applyAlignment="1">
      <alignment horizontal="center" vertical="center" wrapText="1"/>
    </xf>
    <xf numFmtId="0" fontId="28" fillId="20" borderId="56" xfId="1" applyNumberFormat="1" applyFont="1" applyFill="1" applyBorder="1" applyAlignment="1" applyProtection="1">
      <alignment vertical="center"/>
      <protection locked="0"/>
    </xf>
    <xf numFmtId="0" fontId="28" fillId="20" borderId="3" xfId="1" applyNumberFormat="1" applyFont="1" applyFill="1" applyBorder="1" applyAlignment="1" applyProtection="1">
      <alignment vertical="center"/>
      <protection locked="0"/>
    </xf>
    <xf numFmtId="0" fontId="28" fillId="20" borderId="71" xfId="1" applyNumberFormat="1" applyFont="1" applyFill="1" applyBorder="1" applyAlignment="1" applyProtection="1">
      <alignment vertical="center"/>
      <protection locked="0"/>
    </xf>
    <xf numFmtId="0" fontId="28" fillId="20" borderId="72" xfId="1" applyNumberFormat="1" applyFont="1" applyFill="1" applyBorder="1" applyAlignment="1" applyProtection="1">
      <alignment vertical="center"/>
      <protection locked="0"/>
    </xf>
    <xf numFmtId="0" fontId="28" fillId="20" borderId="0" xfId="1" applyNumberFormat="1" applyFont="1" applyFill="1" applyBorder="1" applyAlignment="1" applyProtection="1">
      <alignment vertical="center"/>
      <protection locked="0"/>
    </xf>
    <xf numFmtId="0" fontId="25" fillId="15" borderId="8" xfId="0" applyFont="1" applyFill="1" applyBorder="1" applyAlignment="1" applyProtection="1">
      <alignment horizontal="left"/>
    </xf>
    <xf numFmtId="0" fontId="25" fillId="15" borderId="2" xfId="0" applyFont="1" applyFill="1" applyBorder="1" applyAlignment="1" applyProtection="1">
      <alignment horizontal="left"/>
    </xf>
    <xf numFmtId="0" fontId="25" fillId="15" borderId="9" xfId="0" applyFont="1" applyFill="1" applyBorder="1" applyAlignment="1" applyProtection="1">
      <alignment horizontal="left"/>
    </xf>
    <xf numFmtId="0" fontId="7" fillId="0" borderId="2" xfId="0" applyFont="1" applyBorder="1" applyAlignment="1" applyProtection="1">
      <alignment horizontal="center"/>
    </xf>
    <xf numFmtId="0" fontId="0" fillId="0" borderId="8"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25" fillId="2" borderId="8" xfId="0" applyFont="1" applyFill="1" applyBorder="1" applyAlignment="1">
      <alignment horizontal="center"/>
    </xf>
    <xf numFmtId="0" fontId="25" fillId="2" borderId="2" xfId="0" applyFont="1" applyFill="1" applyBorder="1" applyAlignment="1">
      <alignment horizontal="center"/>
    </xf>
    <xf numFmtId="0" fontId="25" fillId="2" borderId="9" xfId="0" applyFont="1" applyFill="1" applyBorder="1" applyAlignment="1">
      <alignment horizontal="center"/>
    </xf>
  </cellXfs>
  <cellStyles count="11">
    <cellStyle name="20 % - Accent3" xfId="5" builtinId="38"/>
    <cellStyle name="20 % - Accent4" xfId="6" builtinId="42"/>
    <cellStyle name="Accent6" xfId="7" builtinId="49"/>
    <cellStyle name="Lien hypertexte" xfId="4" builtinId="8"/>
    <cellStyle name="Milliers 2" xfId="2" xr:uid="{00000000-0005-0000-0000-000004000000}"/>
    <cellStyle name="Milliers 2 2" xfId="10" xr:uid="{00000000-0005-0000-0000-000005000000}"/>
    <cellStyle name="Neutre" xfId="9" builtinId="28"/>
    <cellStyle name="Normal" xfId="0" builtinId="0"/>
    <cellStyle name="Normal 2" xfId="1" xr:uid="{00000000-0005-0000-0000-000008000000}"/>
    <cellStyle name="Normal 3" xfId="3" xr:uid="{00000000-0005-0000-0000-000009000000}"/>
    <cellStyle name="Satisfaisant" xfId="8" builtinId="26"/>
  </cellStyles>
  <dxfs count="0"/>
  <tableStyles count="0" defaultTableStyle="TableStyleMedium2" defaultPivotStyle="PivotStyleLight16"/>
  <colors>
    <mruColors>
      <color rgb="FFF7EAE9"/>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698591</xdr:colOff>
      <xdr:row>21</xdr:row>
      <xdr:rowOff>139065</xdr:rowOff>
    </xdr:from>
    <xdr:to>
      <xdr:col>10</xdr:col>
      <xdr:colOff>650966</xdr:colOff>
      <xdr:row>23</xdr:row>
      <xdr:rowOff>0</xdr:rowOff>
    </xdr:to>
    <xdr:sp macro="" textlink="">
      <xdr:nvSpPr>
        <xdr:cNvPr id="2" name="Flèche droite 1">
          <a:extLst>
            <a:ext uri="{FF2B5EF4-FFF2-40B4-BE49-F238E27FC236}">
              <a16:creationId xmlns:a16="http://schemas.microsoft.com/office/drawing/2014/main" id="{00000000-0008-0000-0000-000002000000}"/>
            </a:ext>
          </a:extLst>
        </xdr:cNvPr>
        <xdr:cNvSpPr/>
      </xdr:nvSpPr>
      <xdr:spPr>
        <a:xfrm>
          <a:off x="7305131" y="4368165"/>
          <a:ext cx="1598295" cy="234315"/>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fr-CH" sz="1100"/>
        </a:p>
      </xdr:txBody>
    </xdr:sp>
    <xdr:clientData/>
  </xdr:twoCellAnchor>
  <xdr:twoCellAnchor>
    <xdr:from>
      <xdr:col>13</xdr:col>
      <xdr:colOff>388621</xdr:colOff>
      <xdr:row>18</xdr:row>
      <xdr:rowOff>76200</xdr:rowOff>
    </xdr:from>
    <xdr:to>
      <xdr:col>20</xdr:col>
      <xdr:colOff>754381</xdr:colOff>
      <xdr:row>23</xdr:row>
      <xdr:rowOff>108857</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1148061" y="3733800"/>
          <a:ext cx="5974080" cy="97753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CH" sz="1000" b="1" u="sng">
              <a:solidFill>
                <a:srgbClr val="FF0000"/>
              </a:solidFill>
            </a:rPr>
            <a:t>ATTENTION</a:t>
          </a:r>
          <a:r>
            <a:rPr lang="fr-CH" sz="1000"/>
            <a:t>:</a:t>
          </a:r>
        </a:p>
        <a:p>
          <a:pPr algn="just"/>
          <a:endParaRPr lang="fr-CH" sz="500"/>
        </a:p>
        <a:p>
          <a:pPr algn="just"/>
          <a:r>
            <a:rPr lang="fr-CH" sz="900"/>
            <a:t>Pour les déchets végétaux (contrairement aux autres déchets qui sont plus ou moins stables dans le temps), l'évolution au cours d'une année est très variable. On peut observer un pic de production entre les mois de mai et août.</a:t>
          </a:r>
        </a:p>
        <a:p>
          <a:pPr algn="just"/>
          <a:endParaRPr lang="fr-CH" sz="500"/>
        </a:p>
        <a:p>
          <a:pPr algn="just"/>
          <a:r>
            <a:rPr lang="fr-CH" sz="900"/>
            <a:t>Pour éviter tout débordement en été, on a pris comme base de dimensionnement les 4 mois cités que l'on a ensuite multiplié par 3 pour obtenir un équivalent annuel!!!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458143</xdr:colOff>
      <xdr:row>33</xdr:row>
      <xdr:rowOff>38100</xdr:rowOff>
    </xdr:from>
    <xdr:to>
      <xdr:col>15</xdr:col>
      <xdr:colOff>314325</xdr:colOff>
      <xdr:row>38</xdr:row>
      <xdr:rowOff>57151</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6801793" y="8277225"/>
          <a:ext cx="6704657" cy="12192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CH" sz="900">
              <a:sym typeface="Wingdings 3"/>
            </a:rPr>
            <a:t>Résumé du</a:t>
          </a:r>
          <a:r>
            <a:rPr lang="fr-CH" sz="900" baseline="0">
              <a:sym typeface="Wingdings 3"/>
            </a:rPr>
            <a:t> </a:t>
          </a:r>
          <a:r>
            <a:rPr lang="fr-CH" sz="900">
              <a:sym typeface="Wingdings 3"/>
            </a:rPr>
            <a:t>calcul</a:t>
          </a:r>
          <a:r>
            <a:rPr lang="fr-CH" sz="900" baseline="0">
              <a:sym typeface="Wingdings 3"/>
            </a:rPr>
            <a:t> de surface</a:t>
          </a:r>
        </a:p>
        <a:p>
          <a:r>
            <a:rPr lang="fr-CH" sz="900">
              <a:sym typeface="Wingdings 3"/>
            </a:rPr>
            <a:t>-</a:t>
          </a:r>
          <a:r>
            <a:rPr lang="fr-CH" sz="900" baseline="0">
              <a:sym typeface="Wingdings 3"/>
            </a:rPr>
            <a:t> </a:t>
          </a:r>
          <a:r>
            <a:rPr lang="fr-CH" sz="900"/>
            <a:t>Pour les conteneurs en</a:t>
          </a:r>
          <a:r>
            <a:rPr lang="fr-CH" sz="900" baseline="0"/>
            <a:t> surface</a:t>
          </a:r>
          <a:r>
            <a:rPr lang="fr-CH" sz="900"/>
            <a:t>, la surface nécessaire est le double de l'emprise au sol</a:t>
          </a:r>
          <a:r>
            <a:rPr lang="fr-CH" sz="900" baseline="0"/>
            <a:t> (soit 1m2 pour les  360 l et 2m2 pour les 770 l)</a:t>
          </a:r>
        </a:p>
        <a:p>
          <a:r>
            <a:rPr lang="fr-CH" sz="900" i="1" baseline="0"/>
            <a:t>http://ge.ch/dechets/media/dechets/files/fichiers/documents/Publications/fiche_3-equipement_des_immeubles_neufs_selon_le_ralci.pdf</a:t>
          </a:r>
        </a:p>
        <a:p>
          <a:r>
            <a:rPr lang="fr-CH" sz="900" baseline="0">
              <a:solidFill>
                <a:schemeClr val="dk1"/>
              </a:solidFill>
              <a:effectLst/>
              <a:latin typeface="+mn-lt"/>
              <a:ea typeface="+mn-ea"/>
              <a:cs typeface="+mn-cs"/>
              <a:sym typeface="Wingdings 3"/>
            </a:rPr>
            <a:t>- </a:t>
          </a:r>
          <a:r>
            <a:rPr lang="fr-CH" sz="900" baseline="0"/>
            <a:t>Pour les conteneurs enterrés, l'emprise de la cuve est de 2m x 2m (identique pour des 3000 ou des 5000, c'est la profondeur qui change  et on creuse en prévision une fosse plus profonde pour une cuve de 5000 même si on met de cuve de 3000). Une bordure de 50 cm doit être prise autour des cuves (BVz, 01.2018). La variante 2 est utilisée pour le calcul de la surface nécessaire (voir ci-dessous)</a:t>
          </a:r>
        </a:p>
        <a:p>
          <a:r>
            <a:rPr lang="fr-CH" sz="900" baseline="0"/>
            <a:t>- Surface finale majorée de 10% par sécurité</a:t>
          </a:r>
        </a:p>
      </xdr:txBody>
    </xdr:sp>
    <xdr:clientData/>
  </xdr:twoCellAnchor>
  <xdr:twoCellAnchor>
    <xdr:from>
      <xdr:col>8</xdr:col>
      <xdr:colOff>1347787</xdr:colOff>
      <xdr:row>40</xdr:row>
      <xdr:rowOff>166686</xdr:rowOff>
    </xdr:from>
    <xdr:to>
      <xdr:col>13</xdr:col>
      <xdr:colOff>312422</xdr:colOff>
      <xdr:row>42</xdr:row>
      <xdr:rowOff>173566</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8866187" y="10140419"/>
          <a:ext cx="3324968" cy="38788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a:t>Variante 2 : cuves alignées et collées avec bordure unique (possible</a:t>
          </a:r>
          <a:r>
            <a:rPr lang="fr-CH" sz="900" baseline="0"/>
            <a:t> de coller les cuves seulement si le terrain est au même niveau)</a:t>
          </a:r>
          <a:endParaRPr lang="fr-CH" sz="900"/>
        </a:p>
      </xdr:txBody>
    </xdr:sp>
    <xdr:clientData/>
  </xdr:twoCellAnchor>
  <xdr:twoCellAnchor>
    <xdr:from>
      <xdr:col>8</xdr:col>
      <xdr:colOff>1343765</xdr:colOff>
      <xdr:row>38</xdr:row>
      <xdr:rowOff>273895</xdr:rowOff>
    </xdr:from>
    <xdr:to>
      <xdr:col>12</xdr:col>
      <xdr:colOff>224368</xdr:colOff>
      <xdr:row>39</xdr:row>
      <xdr:rowOff>341206</xdr:rowOff>
    </xdr:to>
    <xdr:sp macro="" textlink="">
      <xdr:nvSpPr>
        <xdr:cNvPr id="15" name="ZoneTexte 14">
          <a:extLst>
            <a:ext uri="{FF2B5EF4-FFF2-40B4-BE49-F238E27FC236}">
              <a16:creationId xmlns:a16="http://schemas.microsoft.com/office/drawing/2014/main" id="{00000000-0008-0000-0100-00000F000000}"/>
            </a:ext>
          </a:extLst>
        </xdr:cNvPr>
        <xdr:cNvSpPr txBox="1"/>
      </xdr:nvSpPr>
      <xdr:spPr>
        <a:xfrm>
          <a:off x="8862165" y="9553362"/>
          <a:ext cx="2690603" cy="41444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a:t>Variante 1 : cuves alignées avec bordure</a:t>
          </a:r>
          <a:r>
            <a:rPr lang="fr-CH" sz="900" baseline="0"/>
            <a:t> individuelle </a:t>
          </a:r>
        </a:p>
        <a:p>
          <a:r>
            <a:rPr lang="fr-CH" sz="900" baseline="0"/>
            <a:t>Surface au sol maximale</a:t>
          </a:r>
          <a:endParaRPr lang="fr-CH" sz="900"/>
        </a:p>
      </xdr:txBody>
    </xdr:sp>
    <xdr:clientData/>
  </xdr:twoCellAnchor>
  <xdr:twoCellAnchor>
    <xdr:from>
      <xdr:col>9</xdr:col>
      <xdr:colOff>3</xdr:colOff>
      <xdr:row>43</xdr:row>
      <xdr:rowOff>129515</xdr:rowOff>
    </xdr:from>
    <xdr:to>
      <xdr:col>14</xdr:col>
      <xdr:colOff>164153</xdr:colOff>
      <xdr:row>45</xdr:row>
      <xdr:rowOff>287868</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8898470" y="10670515"/>
          <a:ext cx="3813283" cy="53088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900"/>
            <a:t>Variante 3 : cuves groupées avec bordure unique (possible</a:t>
          </a:r>
          <a:r>
            <a:rPr lang="fr-CH" sz="900" baseline="0"/>
            <a:t> de coller les cuves seulement si le terrain est au même niveau)</a:t>
          </a:r>
        </a:p>
        <a:p>
          <a:r>
            <a:rPr lang="fr-CH" sz="900" baseline="0"/>
            <a:t>Surface au sol minimale</a:t>
          </a:r>
          <a:endParaRPr lang="fr-CH" sz="900"/>
        </a:p>
      </xdr:txBody>
    </xdr:sp>
    <xdr:clientData/>
  </xdr:twoCellAnchor>
  <xdr:twoCellAnchor>
    <xdr:from>
      <xdr:col>7</xdr:col>
      <xdr:colOff>842645</xdr:colOff>
      <xdr:row>38</xdr:row>
      <xdr:rowOff>230504</xdr:rowOff>
    </xdr:from>
    <xdr:to>
      <xdr:col>8</xdr:col>
      <xdr:colOff>1261533</xdr:colOff>
      <xdr:row>46</xdr:row>
      <xdr:rowOff>33867</xdr:rowOff>
    </xdr:to>
    <xdr:grpSp>
      <xdr:nvGrpSpPr>
        <xdr:cNvPr id="28" name="Groupe 27">
          <a:extLst>
            <a:ext uri="{FF2B5EF4-FFF2-40B4-BE49-F238E27FC236}">
              <a16:creationId xmlns:a16="http://schemas.microsoft.com/office/drawing/2014/main" id="{00000000-0008-0000-0100-00001C000000}"/>
            </a:ext>
          </a:extLst>
        </xdr:cNvPr>
        <xdr:cNvGrpSpPr/>
      </xdr:nvGrpSpPr>
      <xdr:grpSpPr>
        <a:xfrm>
          <a:off x="7186295" y="9669779"/>
          <a:ext cx="1647613" cy="1717888"/>
          <a:chOff x="5634777" y="9704704"/>
          <a:chExt cx="1646555" cy="1960671"/>
        </a:xfrm>
      </xdr:grpSpPr>
      <xdr:grpSp>
        <xdr:nvGrpSpPr>
          <xdr:cNvPr id="27" name="Groupe 26">
            <a:extLst>
              <a:ext uri="{FF2B5EF4-FFF2-40B4-BE49-F238E27FC236}">
                <a16:creationId xmlns:a16="http://schemas.microsoft.com/office/drawing/2014/main" id="{00000000-0008-0000-0100-00001B000000}"/>
              </a:ext>
            </a:extLst>
          </xdr:cNvPr>
          <xdr:cNvGrpSpPr/>
        </xdr:nvGrpSpPr>
        <xdr:grpSpPr>
          <a:xfrm>
            <a:off x="6455198" y="10898505"/>
            <a:ext cx="760395" cy="766870"/>
            <a:chOff x="6429798" y="11296438"/>
            <a:chExt cx="760395" cy="766870"/>
          </a:xfrm>
        </xdr:grpSpPr>
        <xdr:sp macro="" textlink="">
          <xdr:nvSpPr>
            <xdr:cNvPr id="2" name="Rectangle 1">
              <a:extLst>
                <a:ext uri="{FF2B5EF4-FFF2-40B4-BE49-F238E27FC236}">
                  <a16:creationId xmlns:a16="http://schemas.microsoft.com/office/drawing/2014/main" id="{00000000-0008-0000-0100-000002000000}"/>
                </a:ext>
              </a:extLst>
            </xdr:cNvPr>
            <xdr:cNvSpPr/>
          </xdr:nvSpPr>
          <xdr:spPr>
            <a:xfrm>
              <a:off x="6429798" y="11296438"/>
              <a:ext cx="760395" cy="76687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6" name="Rectangle 15">
              <a:extLst>
                <a:ext uri="{FF2B5EF4-FFF2-40B4-BE49-F238E27FC236}">
                  <a16:creationId xmlns:a16="http://schemas.microsoft.com/office/drawing/2014/main" id="{00000000-0008-0000-0100-000010000000}"/>
                </a:ext>
              </a:extLst>
            </xdr:cNvPr>
            <xdr:cNvSpPr/>
          </xdr:nvSpPr>
          <xdr:spPr>
            <a:xfrm>
              <a:off x="6496473" y="11371388"/>
              <a:ext cx="297650" cy="304788"/>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7" name="Rectangle 16">
              <a:extLst>
                <a:ext uri="{FF2B5EF4-FFF2-40B4-BE49-F238E27FC236}">
                  <a16:creationId xmlns:a16="http://schemas.microsoft.com/office/drawing/2014/main" id="{00000000-0008-0000-0100-000011000000}"/>
                </a:ext>
              </a:extLst>
            </xdr:cNvPr>
            <xdr:cNvSpPr/>
          </xdr:nvSpPr>
          <xdr:spPr>
            <a:xfrm>
              <a:off x="6807992" y="11370733"/>
              <a:ext cx="273454" cy="30837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8" name="Rectangle 17">
              <a:extLst>
                <a:ext uri="{FF2B5EF4-FFF2-40B4-BE49-F238E27FC236}">
                  <a16:creationId xmlns:a16="http://schemas.microsoft.com/office/drawing/2014/main" id="{00000000-0008-0000-0100-000012000000}"/>
                </a:ext>
              </a:extLst>
            </xdr:cNvPr>
            <xdr:cNvSpPr/>
          </xdr:nvSpPr>
          <xdr:spPr>
            <a:xfrm>
              <a:off x="6496473" y="11691428"/>
              <a:ext cx="297650" cy="292935"/>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9" name="Rectangle 18">
              <a:extLst>
                <a:ext uri="{FF2B5EF4-FFF2-40B4-BE49-F238E27FC236}">
                  <a16:creationId xmlns:a16="http://schemas.microsoft.com/office/drawing/2014/main" id="{00000000-0008-0000-0100-000013000000}"/>
                </a:ext>
              </a:extLst>
            </xdr:cNvPr>
            <xdr:cNvSpPr/>
          </xdr:nvSpPr>
          <xdr:spPr>
            <a:xfrm>
              <a:off x="6807992" y="11690773"/>
              <a:ext cx="274624" cy="292935"/>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grpSp>
      <xdr:grpSp>
        <xdr:nvGrpSpPr>
          <xdr:cNvPr id="26" name="Groupe 25">
            <a:extLst>
              <a:ext uri="{FF2B5EF4-FFF2-40B4-BE49-F238E27FC236}">
                <a16:creationId xmlns:a16="http://schemas.microsoft.com/office/drawing/2014/main" id="{00000000-0008-0000-0100-00001A000000}"/>
              </a:ext>
            </a:extLst>
          </xdr:cNvPr>
          <xdr:cNvGrpSpPr/>
        </xdr:nvGrpSpPr>
        <xdr:grpSpPr>
          <a:xfrm>
            <a:off x="5634777" y="9704704"/>
            <a:ext cx="1646555" cy="1056429"/>
            <a:chOff x="5634777" y="9704704"/>
            <a:chExt cx="1646555" cy="1056429"/>
          </a:xfrm>
        </xdr:grpSpPr>
        <xdr:sp macro="" textlink="">
          <xdr:nvSpPr>
            <xdr:cNvPr id="4" name="Rectangle 3">
              <a:extLst>
                <a:ext uri="{FF2B5EF4-FFF2-40B4-BE49-F238E27FC236}">
                  <a16:creationId xmlns:a16="http://schemas.microsoft.com/office/drawing/2014/main" id="{00000000-0008-0000-0100-000004000000}"/>
                </a:ext>
              </a:extLst>
            </xdr:cNvPr>
            <xdr:cNvSpPr/>
          </xdr:nvSpPr>
          <xdr:spPr>
            <a:xfrm>
              <a:off x="6061075" y="10329862"/>
              <a:ext cx="1187450" cy="43127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grpSp>
          <xdr:nvGrpSpPr>
            <xdr:cNvPr id="25" name="Groupe 24">
              <a:extLst>
                <a:ext uri="{FF2B5EF4-FFF2-40B4-BE49-F238E27FC236}">
                  <a16:creationId xmlns:a16="http://schemas.microsoft.com/office/drawing/2014/main" id="{00000000-0008-0000-0100-000019000000}"/>
                </a:ext>
              </a:extLst>
            </xdr:cNvPr>
            <xdr:cNvGrpSpPr/>
          </xdr:nvGrpSpPr>
          <xdr:grpSpPr>
            <a:xfrm>
              <a:off x="5634777" y="9704704"/>
              <a:ext cx="1646555" cy="988721"/>
              <a:chOff x="5634777" y="9704704"/>
              <a:chExt cx="1646555" cy="988721"/>
            </a:xfrm>
          </xdr:grpSpPr>
          <xdr:sp macro="" textlink="">
            <xdr:nvSpPr>
              <xdr:cNvPr id="3" name="Rectangle 2">
                <a:extLst>
                  <a:ext uri="{FF2B5EF4-FFF2-40B4-BE49-F238E27FC236}">
                    <a16:creationId xmlns:a16="http://schemas.microsoft.com/office/drawing/2014/main" id="{00000000-0008-0000-0100-000003000000}"/>
                  </a:ext>
                </a:extLst>
              </xdr:cNvPr>
              <xdr:cNvSpPr/>
            </xdr:nvSpPr>
            <xdr:spPr>
              <a:xfrm>
                <a:off x="5634777" y="9704704"/>
                <a:ext cx="1646555" cy="46968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grpSp>
            <xdr:nvGrpSpPr>
              <xdr:cNvPr id="6" name="Groupe 5">
                <a:extLst>
                  <a:ext uri="{FF2B5EF4-FFF2-40B4-BE49-F238E27FC236}">
                    <a16:creationId xmlns:a16="http://schemas.microsoft.com/office/drawing/2014/main" id="{00000000-0008-0000-0100-000006000000}"/>
                  </a:ext>
                </a:extLst>
              </xdr:cNvPr>
              <xdr:cNvGrpSpPr/>
            </xdr:nvGrpSpPr>
            <xdr:grpSpPr>
              <a:xfrm>
                <a:off x="6155449" y="10401709"/>
                <a:ext cx="1010130" cy="291716"/>
                <a:chOff x="7227709" y="9804363"/>
                <a:chExt cx="1203805" cy="147090"/>
              </a:xfrm>
            </xdr:grpSpPr>
            <xdr:sp macro="" textlink="">
              <xdr:nvSpPr>
                <xdr:cNvPr id="7" name="Rectangle 6">
                  <a:extLst>
                    <a:ext uri="{FF2B5EF4-FFF2-40B4-BE49-F238E27FC236}">
                      <a16:creationId xmlns:a16="http://schemas.microsoft.com/office/drawing/2014/main" id="{00000000-0008-0000-0100-000007000000}"/>
                    </a:ext>
                  </a:extLst>
                </xdr:cNvPr>
                <xdr:cNvSpPr/>
              </xdr:nvSpPr>
              <xdr:spPr>
                <a:xfrm>
                  <a:off x="7227709" y="9805013"/>
                  <a:ext cx="297180" cy="14217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8" name="Rectangle 7">
                  <a:extLst>
                    <a:ext uri="{FF2B5EF4-FFF2-40B4-BE49-F238E27FC236}">
                      <a16:creationId xmlns:a16="http://schemas.microsoft.com/office/drawing/2014/main" id="{00000000-0008-0000-0100-000008000000}"/>
                    </a:ext>
                  </a:extLst>
                </xdr:cNvPr>
                <xdr:cNvSpPr/>
              </xdr:nvSpPr>
              <xdr:spPr>
                <a:xfrm>
                  <a:off x="7538736" y="9804363"/>
                  <a:ext cx="297180" cy="14709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9" name="Rectangle 8">
                  <a:extLst>
                    <a:ext uri="{FF2B5EF4-FFF2-40B4-BE49-F238E27FC236}">
                      <a16:creationId xmlns:a16="http://schemas.microsoft.com/office/drawing/2014/main" id="{00000000-0008-0000-0100-000009000000}"/>
                    </a:ext>
                  </a:extLst>
                </xdr:cNvPr>
                <xdr:cNvSpPr/>
              </xdr:nvSpPr>
              <xdr:spPr>
                <a:xfrm>
                  <a:off x="7836264" y="9805018"/>
                  <a:ext cx="292910" cy="146435"/>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0" name="Rectangle 9">
                  <a:extLst>
                    <a:ext uri="{FF2B5EF4-FFF2-40B4-BE49-F238E27FC236}">
                      <a16:creationId xmlns:a16="http://schemas.microsoft.com/office/drawing/2014/main" id="{00000000-0008-0000-0100-00000A000000}"/>
                    </a:ext>
                  </a:extLst>
                </xdr:cNvPr>
                <xdr:cNvSpPr/>
              </xdr:nvSpPr>
              <xdr:spPr>
                <a:xfrm>
                  <a:off x="8134334" y="9806249"/>
                  <a:ext cx="297180" cy="14520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grpSp>
          <xdr:sp macro="" textlink="">
            <xdr:nvSpPr>
              <xdr:cNvPr id="12" name="Rectangle 11">
                <a:extLst>
                  <a:ext uri="{FF2B5EF4-FFF2-40B4-BE49-F238E27FC236}">
                    <a16:creationId xmlns:a16="http://schemas.microsoft.com/office/drawing/2014/main" id="{00000000-0008-0000-0100-00000C000000}"/>
                  </a:ext>
                </a:extLst>
              </xdr:cNvPr>
              <xdr:cNvSpPr/>
            </xdr:nvSpPr>
            <xdr:spPr>
              <a:xfrm>
                <a:off x="5731933" y="9786620"/>
                <a:ext cx="297650" cy="296321"/>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3" name="Rectangle 12">
                <a:extLst>
                  <a:ext uri="{FF2B5EF4-FFF2-40B4-BE49-F238E27FC236}">
                    <a16:creationId xmlns:a16="http://schemas.microsoft.com/office/drawing/2014/main" id="{00000000-0008-0000-0100-00000D000000}"/>
                  </a:ext>
                </a:extLst>
              </xdr:cNvPr>
              <xdr:cNvSpPr/>
            </xdr:nvSpPr>
            <xdr:spPr>
              <a:xfrm>
                <a:off x="6488853" y="9794240"/>
                <a:ext cx="297650" cy="296321"/>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14" name="Rectangle 13">
                <a:extLst>
                  <a:ext uri="{FF2B5EF4-FFF2-40B4-BE49-F238E27FC236}">
                    <a16:creationId xmlns:a16="http://schemas.microsoft.com/office/drawing/2014/main" id="{00000000-0008-0000-0100-00000E000000}"/>
                  </a:ext>
                </a:extLst>
              </xdr:cNvPr>
              <xdr:cNvSpPr/>
            </xdr:nvSpPr>
            <xdr:spPr>
              <a:xfrm>
                <a:off x="6869853" y="9794240"/>
                <a:ext cx="297650" cy="296321"/>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21" name="Rectangle 20">
                <a:extLst>
                  <a:ext uri="{FF2B5EF4-FFF2-40B4-BE49-F238E27FC236}">
                    <a16:creationId xmlns:a16="http://schemas.microsoft.com/office/drawing/2014/main" id="{00000000-0008-0000-0100-000015000000}"/>
                  </a:ext>
                </a:extLst>
              </xdr:cNvPr>
              <xdr:cNvSpPr/>
            </xdr:nvSpPr>
            <xdr:spPr>
              <a:xfrm>
                <a:off x="6090073" y="9794240"/>
                <a:ext cx="300190" cy="296321"/>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grpSp>
      </xdr:grpSp>
    </xdr:grpSp>
    <xdr:clientData/>
  </xdr:twoCellAnchor>
  <xdr:twoCellAnchor>
    <xdr:from>
      <xdr:col>1</xdr:col>
      <xdr:colOff>67731</xdr:colOff>
      <xdr:row>0</xdr:row>
      <xdr:rowOff>127001</xdr:rowOff>
    </xdr:from>
    <xdr:to>
      <xdr:col>13</xdr:col>
      <xdr:colOff>381000</xdr:colOff>
      <xdr:row>1</xdr:row>
      <xdr:rowOff>1323976</xdr:rowOff>
    </xdr:to>
    <xdr:sp macro="" textlink="">
      <xdr:nvSpPr>
        <xdr:cNvPr id="22" name="ZoneTexte 21">
          <a:extLst>
            <a:ext uri="{FF2B5EF4-FFF2-40B4-BE49-F238E27FC236}">
              <a16:creationId xmlns:a16="http://schemas.microsoft.com/office/drawing/2014/main" id="{00000000-0008-0000-0100-000016000000}"/>
            </a:ext>
          </a:extLst>
        </xdr:cNvPr>
        <xdr:cNvSpPr txBox="1"/>
      </xdr:nvSpPr>
      <xdr:spPr>
        <a:xfrm>
          <a:off x="658281" y="127001"/>
          <a:ext cx="11590869" cy="13779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t>CONSIGNES D'UTILISATION</a:t>
          </a:r>
          <a:r>
            <a:rPr lang="fr-CH" sz="1100" b="1" baseline="0"/>
            <a:t> DU FICHIER DE DIMMENSIONNEMENT :</a:t>
          </a:r>
        </a:p>
        <a:p>
          <a:r>
            <a:rPr lang="fr-CH" sz="1100" b="1" baseline="0"/>
            <a:t>1. Mettre à jour si besoin les statistiques déchets dans l'onglet 1.</a:t>
          </a:r>
        </a:p>
        <a:p>
          <a:r>
            <a:rPr lang="fr-CH" sz="1100" b="1" baseline="0"/>
            <a:t>2. Compléter la population de dimensionnement dans l'onglet 3.</a:t>
          </a:r>
        </a:p>
        <a:p>
          <a:r>
            <a:rPr lang="fr-CH" sz="1100" b="1" baseline="0"/>
            <a:t>3. Ajouter si besoin des conteneurs de réserve dans l'onglet 2, sous 'surface nécessaire'</a:t>
          </a:r>
        </a:p>
        <a:p>
          <a:r>
            <a:rPr lang="fr-CH" sz="1100" b="1" baseline="0"/>
            <a:t>3. Pour un aménagement avec conteneurs enterrés, les résultats s'affichent dans l'onglet 2. Pour un aménagement avec conteneurs en surface uniquement les résultats s'affichent dans l'onglet 3. L'onglet 3 est également disponible en ligne (https://www.pully.ch/dechets) pour être complété directement par les habitants.</a:t>
          </a:r>
        </a:p>
        <a:p>
          <a:r>
            <a:rPr lang="fr-CH" sz="1100" b="1" baseline="0"/>
            <a:t>4. Pour un aménagement avec conteneurs enterrés, les résultats peuvent être comparés aux écopoints existants dans l'onglet 4.</a:t>
          </a:r>
        </a:p>
        <a:p>
          <a:endParaRPr lang="fr-CH" sz="1100"/>
        </a:p>
      </xdr:txBody>
    </xdr:sp>
    <xdr:clientData/>
  </xdr:twoCellAnchor>
  <xdr:twoCellAnchor>
    <xdr:from>
      <xdr:col>11</xdr:col>
      <xdr:colOff>25401</xdr:colOff>
      <xdr:row>14</xdr:row>
      <xdr:rowOff>212</xdr:rowOff>
    </xdr:from>
    <xdr:to>
      <xdr:col>17</xdr:col>
      <xdr:colOff>161926</xdr:colOff>
      <xdr:row>20</xdr:row>
      <xdr:rowOff>19049</xdr:rowOff>
    </xdr:to>
    <xdr:sp macro="" textlink="">
      <xdr:nvSpPr>
        <xdr:cNvPr id="23" name="ZoneTexte 22">
          <a:extLst>
            <a:ext uri="{FF2B5EF4-FFF2-40B4-BE49-F238E27FC236}">
              <a16:creationId xmlns:a16="http://schemas.microsoft.com/office/drawing/2014/main" id="{00000000-0008-0000-0100-000017000000}"/>
            </a:ext>
          </a:extLst>
        </xdr:cNvPr>
        <xdr:cNvSpPr txBox="1"/>
      </xdr:nvSpPr>
      <xdr:spPr>
        <a:xfrm>
          <a:off x="10902951" y="4391237"/>
          <a:ext cx="3898900" cy="112373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fr-CH" sz="900">
              <a:solidFill>
                <a:schemeClr val="dk1"/>
              </a:solidFill>
              <a:latin typeface="+mn-lt"/>
              <a:ea typeface="+mn-ea"/>
              <a:cs typeface="+mn-cs"/>
            </a:rPr>
            <a:t>Résumé du calcul du nombre de conteneurs:</a:t>
          </a:r>
        </a:p>
        <a:p>
          <a:pPr marL="0" indent="0"/>
          <a:r>
            <a:rPr lang="fr-CH" sz="900">
              <a:solidFill>
                <a:schemeClr val="dk1"/>
              </a:solidFill>
              <a:latin typeface="+mn-lt"/>
              <a:ea typeface="+mn-ea"/>
              <a:cs typeface="+mn-cs"/>
            </a:rPr>
            <a:t>- Statistiques Pully kg/an/hab des 3 années précédentes, +20% pour la sécurité</a:t>
          </a:r>
        </a:p>
        <a:p>
          <a:pPr marL="0" indent="0"/>
          <a:r>
            <a:rPr lang="fr-CH" sz="900">
              <a:solidFill>
                <a:schemeClr val="dk1"/>
              </a:solidFill>
              <a:latin typeface="+mn-lt"/>
              <a:ea typeface="+mn-ea"/>
              <a:cs typeface="+mn-cs"/>
            </a:rPr>
            <a:t>- Densité des différents types de déchets</a:t>
          </a:r>
        </a:p>
        <a:p>
          <a:pPr marL="0" indent="0"/>
          <a:r>
            <a:rPr lang="fr-CH" sz="900">
              <a:solidFill>
                <a:schemeClr val="dk1"/>
              </a:solidFill>
              <a:latin typeface="+mn-lt"/>
              <a:ea typeface="+mn-ea"/>
              <a:cs typeface="+mn-cs"/>
            </a:rPr>
            <a:t>- 1 passage hebdommadaire pour tous les déchets</a:t>
          </a:r>
        </a:p>
        <a:p>
          <a:pPr marL="0" indent="0"/>
          <a:r>
            <a:rPr lang="fr-CH" sz="900">
              <a:solidFill>
                <a:schemeClr val="dk1"/>
              </a:solidFill>
              <a:latin typeface="+mn-lt"/>
              <a:ea typeface="+mn-ea"/>
              <a:cs typeface="+mn-cs"/>
            </a:rPr>
            <a:t>- 80% de remplissage des conteneurs pour la sécurité</a:t>
          </a:r>
        </a:p>
        <a:p>
          <a:pPr marL="0" indent="0"/>
          <a:r>
            <a:rPr lang="fr-CH" sz="900">
              <a:solidFill>
                <a:schemeClr val="dk1"/>
              </a:solidFill>
              <a:latin typeface="+mn-lt"/>
              <a:ea typeface="+mn-ea"/>
              <a:cs typeface="+mn-cs"/>
            </a:rPr>
            <a:t>- Nombre de conteneurs arrondis pour les conteneurs enterrés et arrondi à l'unité supérieur pour les conteneurs en surface.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550669</xdr:colOff>
      <xdr:row>8</xdr:row>
      <xdr:rowOff>0</xdr:rowOff>
    </xdr:from>
    <xdr:to>
      <xdr:col>1</xdr:col>
      <xdr:colOff>931669</xdr:colOff>
      <xdr:row>8</xdr:row>
      <xdr:rowOff>167640</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643802" y="1109133"/>
          <a:ext cx="381000" cy="16764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10</xdr:col>
      <xdr:colOff>106680</xdr:colOff>
      <xdr:row>5</xdr:row>
      <xdr:rowOff>17144</xdr:rowOff>
    </xdr:from>
    <xdr:to>
      <xdr:col>18</xdr:col>
      <xdr:colOff>639631</xdr:colOff>
      <xdr:row>40</xdr:row>
      <xdr:rowOff>175260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8618220" y="657224"/>
          <a:ext cx="6331771" cy="5934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lvl="0" indent="-342900">
            <a:lnSpc>
              <a:spcPct val="115000"/>
            </a:lnSpc>
            <a:spcAft>
              <a:spcPts val="0"/>
            </a:spcAft>
            <a:buFont typeface="Symbol"/>
            <a:buChar char=""/>
          </a:pPr>
          <a:r>
            <a:rPr lang="fr-CH" sz="1100">
              <a:effectLst/>
              <a:latin typeface="+mn-lt"/>
              <a:ea typeface="Calibri"/>
              <a:cs typeface="Times New Roman"/>
            </a:rPr>
            <a:t>Les bâtiments neufs doivent être équipés d’emplacements aménagés destinés à l’entreposage des conteneurs pour les déchets collectés au porte-à-porte. Ces emplacements peuvent être permanents ou temporaires. Ils doivent présenter un aspect paysager de qualité et s’intégrer à l’environnement, conformément à la Charte des aménagements extérieurs sur fonds privés de la Ville de Pully. </a:t>
          </a:r>
        </a:p>
        <a:p>
          <a:pPr marL="457200">
            <a:lnSpc>
              <a:spcPct val="115000"/>
            </a:lnSpc>
            <a:spcAft>
              <a:spcPts val="0"/>
            </a:spcAft>
          </a:pPr>
          <a:r>
            <a:rPr lang="fr-CH" sz="500">
              <a:effectLst/>
              <a:latin typeface="+mn-lt"/>
              <a:ea typeface="Calibri"/>
              <a:cs typeface="Times New Roman"/>
            </a:rPr>
            <a:t> </a:t>
          </a:r>
        </a:p>
        <a:p>
          <a:pPr marL="342900" lvl="0" indent="-342900">
            <a:lnSpc>
              <a:spcPct val="115000"/>
            </a:lnSpc>
            <a:spcAft>
              <a:spcPts val="0"/>
            </a:spcAft>
            <a:buFont typeface="Symbol"/>
            <a:buChar char=""/>
          </a:pPr>
          <a:r>
            <a:rPr lang="fr-CH" sz="1100">
              <a:effectLst/>
              <a:latin typeface="+mn-lt"/>
              <a:ea typeface="Calibri"/>
              <a:cs typeface="Times New Roman"/>
            </a:rPr>
            <a:t>Les emplacements permanents sont aménagés à l’intérieur des bâtiments ou font l’objet d’aménagements spécifiques (dépendances) ou paysagers de qualité (à l’air libre). Par exemple, les conteneurs peuvent être placés :</a:t>
          </a:r>
        </a:p>
        <a:p>
          <a:pPr marL="342900" lvl="0" indent="-342900">
            <a:lnSpc>
              <a:spcPct val="115000"/>
            </a:lnSpc>
            <a:spcAft>
              <a:spcPts val="0"/>
            </a:spcAft>
            <a:buFont typeface="Symbol"/>
            <a:buChar char=""/>
          </a:pPr>
          <a:endParaRPr lang="fr-CH" sz="500">
            <a:solidFill>
              <a:schemeClr val="dk1"/>
            </a:solidFill>
            <a:effectLst/>
            <a:latin typeface="+mn-lt"/>
            <a:ea typeface="+mn-ea"/>
            <a:cs typeface="+mn-cs"/>
          </a:endParaRPr>
        </a:p>
        <a:p>
          <a:pPr marL="788035" marR="0" indent="-171450" defTabSz="914400" eaLnBrk="1" fontAlgn="auto" latinLnBrk="0" hangingPunct="1">
            <a:lnSpc>
              <a:spcPct val="115000"/>
            </a:lnSpc>
            <a:spcBef>
              <a:spcPts val="0"/>
            </a:spcBef>
            <a:spcAft>
              <a:spcPts val="0"/>
            </a:spcAft>
            <a:buClrTx/>
            <a:buSzTx/>
            <a:buFont typeface="Wingdings" panose="05000000000000000000" pitchFamily="2" charset="2"/>
            <a:buChar char="ü"/>
            <a:tabLst/>
            <a:defRPr/>
          </a:pPr>
          <a:r>
            <a:rPr lang="fr-CH" sz="1100">
              <a:solidFill>
                <a:schemeClr val="dk1"/>
              </a:solidFill>
              <a:effectLst/>
              <a:latin typeface="+mn-lt"/>
              <a:ea typeface="+mn-ea"/>
              <a:cs typeface="+mn-cs"/>
            </a:rPr>
            <a:t>A l’intérieur des constructions, dans un local dédié au stockage des déchets.</a:t>
          </a:r>
          <a:endParaRPr lang="fr-CH" sz="1100">
            <a:effectLst/>
          </a:endParaRPr>
        </a:p>
        <a:p>
          <a:pPr marL="788035" marR="0" indent="-171450" defTabSz="914400" eaLnBrk="1" fontAlgn="auto" latinLnBrk="0" hangingPunct="1">
            <a:lnSpc>
              <a:spcPct val="115000"/>
            </a:lnSpc>
            <a:spcBef>
              <a:spcPts val="0"/>
            </a:spcBef>
            <a:spcAft>
              <a:spcPts val="0"/>
            </a:spcAft>
            <a:buClrTx/>
            <a:buSzTx/>
            <a:buFont typeface="Wingdings" panose="05000000000000000000" pitchFamily="2" charset="2"/>
            <a:buChar char="ü"/>
            <a:tabLst/>
            <a:defRPr/>
          </a:pPr>
          <a:r>
            <a:rPr lang="fr-CH" sz="1100">
              <a:solidFill>
                <a:schemeClr val="dk1"/>
              </a:solidFill>
              <a:effectLst/>
              <a:latin typeface="+mn-lt"/>
              <a:ea typeface="+mn-ea"/>
              <a:cs typeface="+mn-cs"/>
            </a:rPr>
            <a:t>Dans un local spécifique conçu à cet effet, hors des immeuble.</a:t>
          </a:r>
        </a:p>
        <a:p>
          <a:pPr marL="788035" marR="0" indent="-171450" defTabSz="914400" eaLnBrk="1" fontAlgn="auto" latinLnBrk="0" hangingPunct="1">
            <a:lnSpc>
              <a:spcPct val="115000"/>
            </a:lnSpc>
            <a:spcBef>
              <a:spcPts val="0"/>
            </a:spcBef>
            <a:spcAft>
              <a:spcPts val="0"/>
            </a:spcAft>
            <a:buClrTx/>
            <a:buSzTx/>
            <a:buFont typeface="Wingdings" panose="05000000000000000000" pitchFamily="2" charset="2"/>
            <a:buChar char="ü"/>
            <a:tabLst/>
            <a:defRPr/>
          </a:pPr>
          <a:r>
            <a:rPr lang="fr-CH" sz="1100">
              <a:solidFill>
                <a:schemeClr val="dk1"/>
              </a:solidFill>
              <a:effectLst/>
              <a:latin typeface="+mn-lt"/>
              <a:ea typeface="+mn-ea"/>
              <a:cs typeface="+mn-cs"/>
            </a:rPr>
            <a:t>Dans un aménagement à ciel ouvert, lorsqu’il n’est pas possible d’entreposer les conteneurs selon les deux points énoncés ci-dessus. Ce lieu de stockage doit faire l’objet d’un projet d’intégration.</a:t>
          </a:r>
          <a:endParaRPr lang="fr-CH" sz="1100">
            <a:effectLst/>
          </a:endParaRPr>
        </a:p>
        <a:p>
          <a:pPr marL="788035" indent="-171450">
            <a:lnSpc>
              <a:spcPct val="115000"/>
            </a:lnSpc>
            <a:spcAft>
              <a:spcPts val="0"/>
            </a:spcAft>
            <a:buFont typeface="Wingdings" panose="05000000000000000000" pitchFamily="2" charset="2"/>
            <a:buChar char="ü"/>
          </a:pPr>
          <a:endParaRPr lang="fr-CH" sz="500">
            <a:effectLst/>
            <a:latin typeface="+mn-lt"/>
            <a:ea typeface="Calibri"/>
            <a:cs typeface="Times New Roman"/>
          </a:endParaRPr>
        </a:p>
        <a:p>
          <a:pPr marL="342900" lvl="0" indent="-342900">
            <a:lnSpc>
              <a:spcPct val="115000"/>
            </a:lnSpc>
            <a:spcAft>
              <a:spcPts val="0"/>
            </a:spcAft>
            <a:buFont typeface="Symbol"/>
            <a:buChar char=""/>
          </a:pPr>
          <a:r>
            <a:rPr lang="fr-CH" sz="1100">
              <a:effectLst/>
              <a:latin typeface="+mn-lt"/>
              <a:ea typeface="Calibri"/>
              <a:cs typeface="Times New Roman"/>
            </a:rPr>
            <a:t>Les emplacements temporaires sont destinés à recevoir les conteneurs le jour de collecte exclusivement. D’une manière générale, les déchets doivent être déposés selon l’horaire indiqué par les directives municipales, en bordure du domaine public, sans entraver la circulation des véhicules et des piétons ni créer de danger pour les usagers du domaine public ou les collaborateurs de la Commune. Les conteneurs doivent être rentrés immédiatement après la collecte. L’emplacement temporaire doit être étudié afin que le parcours jusqu’au lieu de vidange soit court et sans obstacles pouvant entraver le chargement. L’accessibilité doit être facilitée au maximum et le véhicule de collecte doit pouvoir stationner à proximité. La pente est aussi un élément majeur à prendre en compte; selon la déclivité, les conteneurs doivent être équipés de freins. </a:t>
          </a:r>
        </a:p>
        <a:p>
          <a:pPr marL="457200">
            <a:lnSpc>
              <a:spcPct val="115000"/>
            </a:lnSpc>
            <a:spcAft>
              <a:spcPts val="0"/>
            </a:spcAft>
          </a:pPr>
          <a:r>
            <a:rPr lang="fr-CH" sz="500">
              <a:effectLst/>
              <a:latin typeface="+mn-lt"/>
              <a:ea typeface="Calibri"/>
              <a:cs typeface="Times New Roman"/>
            </a:rPr>
            <a:t> </a:t>
          </a:r>
        </a:p>
        <a:p>
          <a:pPr marL="342900" lvl="0" indent="-342900">
            <a:lnSpc>
              <a:spcPct val="115000"/>
            </a:lnSpc>
            <a:spcAft>
              <a:spcPts val="0"/>
            </a:spcAft>
            <a:buFont typeface="Symbol"/>
            <a:buChar char=""/>
          </a:pPr>
          <a:r>
            <a:rPr lang="fr-CH" sz="1100">
              <a:effectLst/>
              <a:latin typeface="+mn-lt"/>
              <a:ea typeface="Calibri"/>
              <a:cs typeface="Times New Roman"/>
            </a:rPr>
            <a:t>Dans certains cas, il est possible de centraliser la collecte des déchets en mettant en place un local à déchets commun à plusieurs bâtiments. L'utilisation de conteneurs enterrés peut parfois s'avérer judicieuse. </a:t>
          </a:r>
        </a:p>
        <a:p>
          <a:pPr marL="457200">
            <a:lnSpc>
              <a:spcPct val="115000"/>
            </a:lnSpc>
            <a:spcAft>
              <a:spcPts val="0"/>
            </a:spcAft>
          </a:pPr>
          <a:r>
            <a:rPr lang="fr-CH" sz="500">
              <a:effectLst/>
              <a:latin typeface="+mn-lt"/>
              <a:ea typeface="Calibri"/>
              <a:cs typeface="Times New Roman"/>
            </a:rPr>
            <a:t> </a:t>
          </a:r>
        </a:p>
        <a:p>
          <a:pPr marL="342900" lvl="0" indent="-342900">
            <a:lnSpc>
              <a:spcPct val="115000"/>
            </a:lnSpc>
            <a:spcAft>
              <a:spcPts val="0"/>
            </a:spcAft>
            <a:buFont typeface="Symbol"/>
            <a:buChar char=""/>
          </a:pPr>
          <a:r>
            <a:rPr lang="fr-CH" sz="1100">
              <a:effectLst/>
              <a:latin typeface="+mn-lt"/>
              <a:ea typeface="Calibri"/>
              <a:cs typeface="Times New Roman"/>
            </a:rPr>
            <a:t>Les conteneurs en métal sont interdits, seuls les conteneurs en plastique sont autorisés.</a:t>
          </a:r>
        </a:p>
        <a:p>
          <a:pPr marL="457200">
            <a:lnSpc>
              <a:spcPct val="115000"/>
            </a:lnSpc>
            <a:spcAft>
              <a:spcPts val="0"/>
            </a:spcAft>
          </a:pPr>
          <a:r>
            <a:rPr lang="fr-CH" sz="500">
              <a:effectLst/>
              <a:latin typeface="+mn-lt"/>
              <a:ea typeface="Calibri"/>
              <a:cs typeface="Times New Roman"/>
            </a:rPr>
            <a:t> </a:t>
          </a:r>
        </a:p>
        <a:p>
          <a:pPr marL="342900" lvl="0" indent="-342900">
            <a:lnSpc>
              <a:spcPct val="115000"/>
            </a:lnSpc>
            <a:spcAft>
              <a:spcPts val="1000"/>
            </a:spcAft>
            <a:buFont typeface="Symbol"/>
            <a:buChar char=""/>
          </a:pPr>
          <a:r>
            <a:rPr lang="fr-CH" sz="1100">
              <a:effectLst/>
              <a:latin typeface="+mn-lt"/>
              <a:ea typeface="Calibri"/>
              <a:cs typeface="Times New Roman"/>
            </a:rPr>
            <a:t>Les conteneurs et les emplacements permanents et temporaires doivent être entretenus régulièrement. </a:t>
          </a:r>
        </a:p>
        <a:p>
          <a:endParaRPr lang="fr-CH" sz="1100">
            <a:solidFill>
              <a:schemeClr val="dk1"/>
            </a:solidFill>
            <a:effectLst/>
            <a:latin typeface="+mn-lt"/>
            <a:ea typeface="+mn-ea"/>
            <a:cs typeface="+mn-cs"/>
          </a:endParaRPr>
        </a:p>
      </xdr:txBody>
    </xdr:sp>
    <xdr:clientData/>
  </xdr:twoCellAnchor>
  <xdr:twoCellAnchor editAs="oneCell">
    <xdr:from>
      <xdr:col>16</xdr:col>
      <xdr:colOff>545502</xdr:colOff>
      <xdr:row>0</xdr:row>
      <xdr:rowOff>71269</xdr:rowOff>
    </xdr:from>
    <xdr:to>
      <xdr:col>18</xdr:col>
      <xdr:colOff>583603</xdr:colOff>
      <xdr:row>4</xdr:row>
      <xdr:rowOff>2689</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600342" y="71269"/>
          <a:ext cx="1623061" cy="50292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2:AL27"/>
  <sheetViews>
    <sheetView showGridLines="0" showRowColHeaders="0" zoomScale="70" zoomScaleNormal="70" workbookViewId="0">
      <pane xSplit="2" topLeftCell="R1" activePane="topRight" state="frozen"/>
      <selection activeCell="J22" sqref="J22"/>
      <selection pane="topRight" activeCell="J22" sqref="J22"/>
    </sheetView>
  </sheetViews>
  <sheetFormatPr baseColWidth="10" defaultColWidth="11.42578125" defaultRowHeight="15" x14ac:dyDescent="0.25"/>
  <cols>
    <col min="1" max="1" width="2.85546875" style="45" customWidth="1"/>
    <col min="2" max="2" width="21.42578125" style="45" customWidth="1"/>
    <col min="3" max="10" width="12" style="45" customWidth="1"/>
    <col min="11" max="11" width="13.7109375" style="45" bestFit="1" customWidth="1"/>
    <col min="12" max="12" width="11.7109375" style="45" customWidth="1"/>
    <col min="13" max="13" width="12.28515625" style="45" bestFit="1" customWidth="1"/>
    <col min="14" max="14" width="11.42578125" style="45"/>
    <col min="15" max="15" width="11.5703125" style="45" customWidth="1"/>
    <col min="16" max="18" width="11.42578125" style="45"/>
    <col min="19" max="19" width="12.28515625" style="45" customWidth="1"/>
    <col min="20" max="20" width="12.140625" style="45" customWidth="1"/>
    <col min="21" max="21" width="13" style="45" customWidth="1"/>
    <col min="22" max="16384" width="11.42578125" style="45"/>
  </cols>
  <sheetData>
    <row r="2" spans="2:38" ht="49.5" customHeight="1" x14ac:dyDescent="0.25">
      <c r="G2" s="330" t="s">
        <v>27</v>
      </c>
      <c r="H2" s="330"/>
      <c r="I2" s="330"/>
      <c r="J2" s="330"/>
      <c r="K2" s="330"/>
    </row>
    <row r="3" spans="2:38" ht="15.75" thickBot="1" x14ac:dyDescent="0.3">
      <c r="O3" s="46"/>
      <c r="P3" s="46"/>
      <c r="Q3" s="46"/>
      <c r="R3" s="46"/>
      <c r="U3" s="47" t="s">
        <v>28</v>
      </c>
    </row>
    <row r="4" spans="2:38" s="48" customFormat="1" ht="16.5" thickTop="1" thickBot="1" x14ac:dyDescent="0.3">
      <c r="C4" s="315">
        <v>43466</v>
      </c>
      <c r="D4" s="315">
        <v>43497</v>
      </c>
      <c r="E4" s="315">
        <v>43525</v>
      </c>
      <c r="F4" s="315">
        <v>43556</v>
      </c>
      <c r="G4" s="315">
        <v>43586</v>
      </c>
      <c r="H4" s="315">
        <v>43617</v>
      </c>
      <c r="I4" s="315">
        <v>43647</v>
      </c>
      <c r="J4" s="315">
        <v>43678</v>
      </c>
      <c r="K4" s="315">
        <v>43709</v>
      </c>
      <c r="L4" s="315">
        <v>43739</v>
      </c>
      <c r="M4" s="315">
        <v>43770</v>
      </c>
      <c r="N4" s="315">
        <v>43800</v>
      </c>
      <c r="O4" s="315">
        <v>43831</v>
      </c>
      <c r="P4" s="315">
        <v>43862</v>
      </c>
      <c r="Q4" s="315">
        <v>43891</v>
      </c>
      <c r="R4" s="315">
        <v>43922</v>
      </c>
      <c r="S4" s="315">
        <v>43952</v>
      </c>
      <c r="T4" s="315">
        <v>43983</v>
      </c>
      <c r="U4" s="315">
        <v>44013</v>
      </c>
      <c r="V4" s="315">
        <v>44044</v>
      </c>
      <c r="W4" s="315">
        <v>44075</v>
      </c>
      <c r="X4" s="315">
        <v>44105</v>
      </c>
      <c r="Y4" s="315">
        <v>44136</v>
      </c>
      <c r="Z4" s="315">
        <v>44166</v>
      </c>
      <c r="AA4" s="315">
        <v>44197</v>
      </c>
      <c r="AB4" s="315">
        <v>44228</v>
      </c>
      <c r="AC4" s="315">
        <v>44256</v>
      </c>
      <c r="AD4" s="315">
        <v>44287</v>
      </c>
      <c r="AE4" s="315">
        <v>44317</v>
      </c>
      <c r="AF4" s="315">
        <v>44348</v>
      </c>
      <c r="AG4" s="315">
        <v>44378</v>
      </c>
      <c r="AH4" s="315">
        <v>44409</v>
      </c>
      <c r="AI4" s="315">
        <v>44440</v>
      </c>
      <c r="AJ4" s="315">
        <v>44470</v>
      </c>
      <c r="AK4" s="315">
        <v>44501</v>
      </c>
      <c r="AL4" s="315">
        <v>44531</v>
      </c>
    </row>
    <row r="5" spans="2:38" ht="15.75" thickTop="1" x14ac:dyDescent="0.25">
      <c r="B5" s="49" t="s">
        <v>123</v>
      </c>
      <c r="C5" s="50">
        <v>208940</v>
      </c>
      <c r="D5" s="51">
        <v>204380</v>
      </c>
      <c r="E5" s="51">
        <v>228480</v>
      </c>
      <c r="F5" s="51">
        <v>200980</v>
      </c>
      <c r="G5" s="51">
        <v>267410</v>
      </c>
      <c r="H5" s="51">
        <v>211790</v>
      </c>
      <c r="I5" s="51">
        <v>208960</v>
      </c>
      <c r="J5" s="51">
        <v>230630</v>
      </c>
      <c r="K5" s="51">
        <v>196090</v>
      </c>
      <c r="L5" s="51">
        <v>224160</v>
      </c>
      <c r="M5" s="51">
        <v>219450</v>
      </c>
      <c r="N5" s="52">
        <v>205950</v>
      </c>
      <c r="O5" s="50">
        <v>235250</v>
      </c>
      <c r="P5" s="51">
        <v>196540</v>
      </c>
      <c r="Q5" s="51">
        <v>204370</v>
      </c>
      <c r="R5" s="51">
        <v>233120</v>
      </c>
      <c r="S5" s="51">
        <v>237480</v>
      </c>
      <c r="T5" s="51">
        <v>214730</v>
      </c>
      <c r="U5" s="51">
        <v>246180</v>
      </c>
      <c r="V5" s="51">
        <v>188030</v>
      </c>
      <c r="W5" s="51">
        <v>207630</v>
      </c>
      <c r="X5" s="51">
        <v>249860</v>
      </c>
      <c r="Y5" s="51">
        <v>211970</v>
      </c>
      <c r="Z5" s="52">
        <v>255390</v>
      </c>
      <c r="AA5" s="50">
        <v>212260</v>
      </c>
      <c r="AB5" s="51">
        <v>209500</v>
      </c>
      <c r="AC5" s="51">
        <v>212800</v>
      </c>
      <c r="AD5" s="51">
        <v>250710</v>
      </c>
      <c r="AE5" s="51">
        <v>210480</v>
      </c>
      <c r="AF5" s="51">
        <v>225620</v>
      </c>
      <c r="AG5" s="51">
        <v>242110</v>
      </c>
      <c r="AH5" s="51">
        <v>180980</v>
      </c>
      <c r="AI5" s="51">
        <v>231300</v>
      </c>
      <c r="AJ5" s="51">
        <v>212880</v>
      </c>
      <c r="AK5" s="51">
        <v>191780</v>
      </c>
      <c r="AL5" s="52">
        <v>259470</v>
      </c>
    </row>
    <row r="6" spans="2:38" x14ac:dyDescent="0.25">
      <c r="B6" s="53" t="s">
        <v>30</v>
      </c>
      <c r="C6" s="54">
        <v>130600</v>
      </c>
      <c r="D6" s="55">
        <v>95820</v>
      </c>
      <c r="E6" s="55">
        <v>105440</v>
      </c>
      <c r="F6" s="55">
        <v>101720</v>
      </c>
      <c r="G6" s="55">
        <v>130340</v>
      </c>
      <c r="H6" s="55">
        <v>102400</v>
      </c>
      <c r="I6" s="55">
        <v>116460</v>
      </c>
      <c r="J6" s="55">
        <v>91980</v>
      </c>
      <c r="K6" s="55">
        <v>101260</v>
      </c>
      <c r="L6" s="55">
        <v>128020</v>
      </c>
      <c r="M6" s="55">
        <v>107120</v>
      </c>
      <c r="N6" s="56">
        <v>121560</v>
      </c>
      <c r="O6" s="54">
        <v>103300</v>
      </c>
      <c r="P6" s="55">
        <v>86040</v>
      </c>
      <c r="Q6" s="55">
        <v>109060</v>
      </c>
      <c r="R6" s="55">
        <v>119100</v>
      </c>
      <c r="S6" s="55">
        <v>98860</v>
      </c>
      <c r="T6" s="55">
        <v>99880</v>
      </c>
      <c r="U6" s="55">
        <v>114880</v>
      </c>
      <c r="V6" s="55">
        <v>87520</v>
      </c>
      <c r="W6" s="55">
        <v>130020</v>
      </c>
      <c r="X6" s="55">
        <v>107640</v>
      </c>
      <c r="Y6" s="55">
        <v>111460</v>
      </c>
      <c r="Z6" s="56">
        <v>142400</v>
      </c>
      <c r="AA6" s="54">
        <v>96040</v>
      </c>
      <c r="AB6" s="55">
        <v>99500</v>
      </c>
      <c r="AC6" s="55">
        <v>137520</v>
      </c>
      <c r="AD6" s="55">
        <v>102180</v>
      </c>
      <c r="AE6" s="55">
        <v>106040</v>
      </c>
      <c r="AF6" s="55">
        <v>132400</v>
      </c>
      <c r="AG6" s="55">
        <v>98380</v>
      </c>
      <c r="AH6" s="55">
        <v>86840</v>
      </c>
      <c r="AI6" s="55">
        <v>127560</v>
      </c>
      <c r="AJ6" s="55">
        <v>99960</v>
      </c>
      <c r="AK6" s="55">
        <v>104540</v>
      </c>
      <c r="AL6" s="56">
        <v>139460</v>
      </c>
    </row>
    <row r="7" spans="2:38" x14ac:dyDescent="0.25">
      <c r="B7" s="53" t="s">
        <v>141</v>
      </c>
      <c r="C7" s="54">
        <v>54560</v>
      </c>
      <c r="D7" s="55">
        <v>58400</v>
      </c>
      <c r="E7" s="55">
        <v>64920</v>
      </c>
      <c r="F7" s="55">
        <v>107380</v>
      </c>
      <c r="G7" s="55">
        <v>106960</v>
      </c>
      <c r="H7" s="55">
        <v>121320</v>
      </c>
      <c r="I7" s="55">
        <v>112280</v>
      </c>
      <c r="J7" s="55">
        <v>87560</v>
      </c>
      <c r="K7" s="55">
        <v>93380</v>
      </c>
      <c r="L7" s="55">
        <v>93140</v>
      </c>
      <c r="M7" s="55">
        <v>96580</v>
      </c>
      <c r="N7" s="56">
        <v>90020</v>
      </c>
      <c r="O7" s="54">
        <v>63240</v>
      </c>
      <c r="P7" s="55">
        <v>57840</v>
      </c>
      <c r="Q7" s="55">
        <v>97160</v>
      </c>
      <c r="R7" s="55">
        <v>109200</v>
      </c>
      <c r="S7" s="55">
        <v>127280</v>
      </c>
      <c r="T7" s="55">
        <v>136060</v>
      </c>
      <c r="U7" s="55">
        <v>91660</v>
      </c>
      <c r="V7" s="55">
        <v>93400</v>
      </c>
      <c r="W7" s="55">
        <v>93440</v>
      </c>
      <c r="X7" s="55">
        <v>93560</v>
      </c>
      <c r="Y7" s="55">
        <v>124700</v>
      </c>
      <c r="Z7" s="56">
        <v>71880</v>
      </c>
      <c r="AA7" s="54">
        <v>64440</v>
      </c>
      <c r="AB7" s="55">
        <v>67080</v>
      </c>
      <c r="AC7" s="55">
        <v>101080</v>
      </c>
      <c r="AD7" s="55">
        <v>95900</v>
      </c>
      <c r="AE7" s="55">
        <v>125160</v>
      </c>
      <c r="AF7" s="55">
        <v>144200</v>
      </c>
      <c r="AG7" s="55">
        <v>111900</v>
      </c>
      <c r="AH7" s="55">
        <v>116380</v>
      </c>
      <c r="AI7" s="55">
        <v>80580</v>
      </c>
      <c r="AJ7" s="55">
        <v>85440</v>
      </c>
      <c r="AK7" s="55">
        <v>113740</v>
      </c>
      <c r="AL7" s="56">
        <v>62260</v>
      </c>
    </row>
    <row r="8" spans="2:38" x14ac:dyDescent="0.25">
      <c r="B8" s="53" t="s">
        <v>32</v>
      </c>
      <c r="C8" s="54">
        <v>64560</v>
      </c>
      <c r="D8" s="55">
        <v>51840</v>
      </c>
      <c r="E8" s="55">
        <v>64260</v>
      </c>
      <c r="F8" s="55">
        <v>47660</v>
      </c>
      <c r="G8" s="55">
        <v>52680</v>
      </c>
      <c r="H8" s="55">
        <v>80400</v>
      </c>
      <c r="I8" s="55">
        <v>50800</v>
      </c>
      <c r="J8" s="55">
        <v>48940</v>
      </c>
      <c r="K8" s="55">
        <v>60240</v>
      </c>
      <c r="L8" s="55">
        <v>58440</v>
      </c>
      <c r="M8" s="55">
        <v>52900</v>
      </c>
      <c r="N8" s="56">
        <v>57300</v>
      </c>
      <c r="O8" s="54">
        <v>68700</v>
      </c>
      <c r="P8" s="55">
        <v>47920</v>
      </c>
      <c r="Q8" s="55">
        <v>68820</v>
      </c>
      <c r="R8" s="55">
        <v>70460</v>
      </c>
      <c r="S8" s="55">
        <v>87340</v>
      </c>
      <c r="T8" s="55">
        <v>64100</v>
      </c>
      <c r="U8" s="55">
        <v>69420</v>
      </c>
      <c r="V8" s="55">
        <v>54200</v>
      </c>
      <c r="W8" s="55">
        <v>60640</v>
      </c>
      <c r="X8" s="55">
        <v>71560</v>
      </c>
      <c r="Y8" s="55">
        <v>51180</v>
      </c>
      <c r="Z8" s="56">
        <v>80180</v>
      </c>
      <c r="AA8" s="54">
        <v>61400</v>
      </c>
      <c r="AB8" s="55">
        <v>67520</v>
      </c>
      <c r="AC8" s="55">
        <v>71750</v>
      </c>
      <c r="AD8" s="55">
        <v>67520</v>
      </c>
      <c r="AE8" s="55">
        <v>82120</v>
      </c>
      <c r="AF8" s="55">
        <v>55620</v>
      </c>
      <c r="AG8" s="55">
        <v>72360</v>
      </c>
      <c r="AH8" s="55">
        <v>56340</v>
      </c>
      <c r="AI8" s="55">
        <v>57500</v>
      </c>
      <c r="AJ8" s="55">
        <v>60760</v>
      </c>
      <c r="AK8" s="55">
        <v>53240</v>
      </c>
      <c r="AL8" s="56">
        <v>65640</v>
      </c>
    </row>
    <row r="9" spans="2:38" x14ac:dyDescent="0.25">
      <c r="B9" s="57" t="s">
        <v>33</v>
      </c>
      <c r="C9" s="54">
        <v>5600</v>
      </c>
      <c r="D9" s="55">
        <v>5150</v>
      </c>
      <c r="E9" s="55">
        <v>4790</v>
      </c>
      <c r="F9" s="55">
        <v>6210</v>
      </c>
      <c r="G9" s="55">
        <v>5700</v>
      </c>
      <c r="H9" s="55">
        <v>6500</v>
      </c>
      <c r="I9" s="55">
        <v>6910</v>
      </c>
      <c r="J9" s="55">
        <v>6190</v>
      </c>
      <c r="K9" s="55">
        <v>5900</v>
      </c>
      <c r="L9" s="55">
        <v>5660</v>
      </c>
      <c r="M9" s="55">
        <v>5470</v>
      </c>
      <c r="N9" s="56">
        <v>5650</v>
      </c>
      <c r="O9" s="54">
        <v>5570</v>
      </c>
      <c r="P9" s="55">
        <v>4440</v>
      </c>
      <c r="Q9" s="55">
        <v>6530</v>
      </c>
      <c r="R9" s="55">
        <v>7940</v>
      </c>
      <c r="S9" s="55">
        <v>6830</v>
      </c>
      <c r="T9" s="55">
        <v>6470</v>
      </c>
      <c r="U9" s="55">
        <v>7210</v>
      </c>
      <c r="V9" s="55">
        <v>7060</v>
      </c>
      <c r="W9" s="55">
        <v>6100</v>
      </c>
      <c r="X9" s="55">
        <v>6160</v>
      </c>
      <c r="Y9" s="55">
        <v>5800</v>
      </c>
      <c r="Z9" s="56">
        <v>6040</v>
      </c>
      <c r="AA9" s="54">
        <v>6340</v>
      </c>
      <c r="AB9" s="55">
        <v>5050</v>
      </c>
      <c r="AC9" s="55">
        <v>6620</v>
      </c>
      <c r="AD9" s="55">
        <v>6390</v>
      </c>
      <c r="AE9" s="55">
        <v>5870</v>
      </c>
      <c r="AF9" s="55">
        <v>7490</v>
      </c>
      <c r="AG9" s="55">
        <v>5580</v>
      </c>
      <c r="AH9" s="55">
        <v>6470</v>
      </c>
      <c r="AI9" s="55">
        <v>5960</v>
      </c>
      <c r="AJ9" s="55">
        <v>5620</v>
      </c>
      <c r="AK9" s="55">
        <v>4860</v>
      </c>
      <c r="AL9" s="56">
        <v>5240</v>
      </c>
    </row>
    <row r="10" spans="2:38" ht="15" customHeight="1" x14ac:dyDescent="0.25">
      <c r="B10" s="58" t="s">
        <v>34</v>
      </c>
      <c r="C10" s="59">
        <v>4260</v>
      </c>
      <c r="D10" s="60">
        <v>2940</v>
      </c>
      <c r="E10" s="60">
        <v>2660</v>
      </c>
      <c r="F10" s="60">
        <v>3310</v>
      </c>
      <c r="G10" s="60">
        <v>3670</v>
      </c>
      <c r="H10" s="60">
        <v>2820</v>
      </c>
      <c r="I10" s="60">
        <v>3510</v>
      </c>
      <c r="J10" s="60">
        <v>2690</v>
      </c>
      <c r="K10" s="60">
        <v>2610</v>
      </c>
      <c r="L10" s="60">
        <v>3620</v>
      </c>
      <c r="M10" s="60">
        <v>2820</v>
      </c>
      <c r="N10" s="61">
        <v>3030</v>
      </c>
      <c r="O10" s="59">
        <v>3600</v>
      </c>
      <c r="P10" s="60">
        <v>2930</v>
      </c>
      <c r="Q10" s="60">
        <v>1430</v>
      </c>
      <c r="R10" s="60">
        <v>1300</v>
      </c>
      <c r="S10" s="60">
        <v>620</v>
      </c>
      <c r="T10" s="60">
        <v>4480</v>
      </c>
      <c r="U10" s="60">
        <v>3390</v>
      </c>
      <c r="V10" s="60">
        <v>3130</v>
      </c>
      <c r="W10" s="60">
        <v>3370</v>
      </c>
      <c r="X10" s="60">
        <v>3620</v>
      </c>
      <c r="Y10" s="60">
        <v>3710</v>
      </c>
      <c r="Z10" s="61">
        <v>2570</v>
      </c>
      <c r="AA10" s="59">
        <v>4420</v>
      </c>
      <c r="AB10" s="60">
        <v>4180</v>
      </c>
      <c r="AC10" s="60">
        <v>4120</v>
      </c>
      <c r="AD10" s="60">
        <v>3030</v>
      </c>
      <c r="AE10" s="60">
        <v>4690</v>
      </c>
      <c r="AF10" s="60">
        <v>3470</v>
      </c>
      <c r="AG10" s="60">
        <v>4220</v>
      </c>
      <c r="AH10" s="60">
        <v>4000</v>
      </c>
      <c r="AI10" s="60">
        <v>3510</v>
      </c>
      <c r="AJ10" s="60">
        <v>3050</v>
      </c>
      <c r="AK10" s="60">
        <v>3460</v>
      </c>
      <c r="AL10" s="61">
        <v>2640</v>
      </c>
    </row>
    <row r="11" spans="2:38" ht="15" customHeight="1" x14ac:dyDescent="0.25">
      <c r="B11" s="62" t="s">
        <v>35</v>
      </c>
      <c r="C11" s="63">
        <f t="shared" ref="C11:Z11" si="0">SUM(C5:C10)</f>
        <v>468520</v>
      </c>
      <c r="D11" s="64">
        <f t="shared" si="0"/>
        <v>418530</v>
      </c>
      <c r="E11" s="64">
        <f t="shared" si="0"/>
        <v>470550</v>
      </c>
      <c r="F11" s="64">
        <f t="shared" si="0"/>
        <v>467260</v>
      </c>
      <c r="G11" s="64">
        <f t="shared" si="0"/>
        <v>566760</v>
      </c>
      <c r="H11" s="64">
        <f t="shared" si="0"/>
        <v>525230</v>
      </c>
      <c r="I11" s="64">
        <f t="shared" si="0"/>
        <v>498920</v>
      </c>
      <c r="J11" s="64">
        <f t="shared" si="0"/>
        <v>467990</v>
      </c>
      <c r="K11" s="64">
        <f t="shared" si="0"/>
        <v>459480</v>
      </c>
      <c r="L11" s="64">
        <f t="shared" si="0"/>
        <v>513040</v>
      </c>
      <c r="M11" s="64">
        <f t="shared" si="0"/>
        <v>484340</v>
      </c>
      <c r="N11" s="65">
        <f t="shared" si="0"/>
        <v>483510</v>
      </c>
      <c r="O11" s="63">
        <f t="shared" si="0"/>
        <v>479660</v>
      </c>
      <c r="P11" s="64">
        <f t="shared" si="0"/>
        <v>395710</v>
      </c>
      <c r="Q11" s="64">
        <f t="shared" si="0"/>
        <v>487370</v>
      </c>
      <c r="R11" s="64">
        <f t="shared" si="0"/>
        <v>541120</v>
      </c>
      <c r="S11" s="64">
        <f t="shared" si="0"/>
        <v>558410</v>
      </c>
      <c r="T11" s="64">
        <f t="shared" si="0"/>
        <v>525720</v>
      </c>
      <c r="U11" s="64">
        <f t="shared" si="0"/>
        <v>532740</v>
      </c>
      <c r="V11" s="64">
        <f t="shared" si="0"/>
        <v>433340</v>
      </c>
      <c r="W11" s="64">
        <f t="shared" si="0"/>
        <v>501200</v>
      </c>
      <c r="X11" s="64">
        <f t="shared" si="0"/>
        <v>532400</v>
      </c>
      <c r="Y11" s="64">
        <f t="shared" si="0"/>
        <v>508820</v>
      </c>
      <c r="Z11" s="65">
        <f t="shared" si="0"/>
        <v>558460</v>
      </c>
      <c r="AA11" s="66">
        <f>SUM(AA5:AA10)</f>
        <v>444900</v>
      </c>
      <c r="AB11" s="67">
        <f t="shared" ref="AB11:AL11" si="1">SUM(AB5:AB10)</f>
        <v>452830</v>
      </c>
      <c r="AC11" s="67">
        <f t="shared" si="1"/>
        <v>533890</v>
      </c>
      <c r="AD11" s="67">
        <f t="shared" si="1"/>
        <v>525730</v>
      </c>
      <c r="AE11" s="67">
        <f t="shared" si="1"/>
        <v>534360</v>
      </c>
      <c r="AF11" s="67">
        <f t="shared" si="1"/>
        <v>568800</v>
      </c>
      <c r="AG11" s="67">
        <f t="shared" si="1"/>
        <v>534550</v>
      </c>
      <c r="AH11" s="67">
        <f t="shared" si="1"/>
        <v>451010</v>
      </c>
      <c r="AI11" s="67">
        <f t="shared" si="1"/>
        <v>506410</v>
      </c>
      <c r="AJ11" s="67">
        <f t="shared" si="1"/>
        <v>467710</v>
      </c>
      <c r="AK11" s="67">
        <f t="shared" si="1"/>
        <v>471620</v>
      </c>
      <c r="AL11" s="68">
        <f t="shared" si="1"/>
        <v>534710</v>
      </c>
    </row>
    <row r="12" spans="2:38" ht="15" customHeight="1" x14ac:dyDescent="0.25">
      <c r="B12" s="69" t="s">
        <v>36</v>
      </c>
      <c r="C12" s="70">
        <f t="shared" ref="C12:Z12" si="2">SUM(C8:C10)</f>
        <v>74420</v>
      </c>
      <c r="D12" s="71">
        <f t="shared" si="2"/>
        <v>59930</v>
      </c>
      <c r="E12" s="71">
        <f t="shared" si="2"/>
        <v>71710</v>
      </c>
      <c r="F12" s="71">
        <f t="shared" si="2"/>
        <v>57180</v>
      </c>
      <c r="G12" s="71">
        <f t="shared" si="2"/>
        <v>62050</v>
      </c>
      <c r="H12" s="71">
        <f t="shared" si="2"/>
        <v>89720</v>
      </c>
      <c r="I12" s="71">
        <f t="shared" si="2"/>
        <v>61220</v>
      </c>
      <c r="J12" s="71">
        <f t="shared" si="2"/>
        <v>57820</v>
      </c>
      <c r="K12" s="71">
        <f t="shared" si="2"/>
        <v>68750</v>
      </c>
      <c r="L12" s="71">
        <f t="shared" si="2"/>
        <v>67720</v>
      </c>
      <c r="M12" s="71">
        <f t="shared" si="2"/>
        <v>61190</v>
      </c>
      <c r="N12" s="72">
        <f t="shared" si="2"/>
        <v>65980</v>
      </c>
      <c r="O12" s="70">
        <f t="shared" si="2"/>
        <v>77870</v>
      </c>
      <c r="P12" s="71">
        <f t="shared" si="2"/>
        <v>55290</v>
      </c>
      <c r="Q12" s="71">
        <f t="shared" si="2"/>
        <v>76780</v>
      </c>
      <c r="R12" s="71">
        <f t="shared" si="2"/>
        <v>79700</v>
      </c>
      <c r="S12" s="71">
        <f t="shared" si="2"/>
        <v>94790</v>
      </c>
      <c r="T12" s="71">
        <f t="shared" si="2"/>
        <v>75050</v>
      </c>
      <c r="U12" s="71">
        <f t="shared" si="2"/>
        <v>80020</v>
      </c>
      <c r="V12" s="71">
        <f t="shared" si="2"/>
        <v>64390</v>
      </c>
      <c r="W12" s="71">
        <f t="shared" si="2"/>
        <v>70110</v>
      </c>
      <c r="X12" s="71">
        <f t="shared" si="2"/>
        <v>81340</v>
      </c>
      <c r="Y12" s="71">
        <f t="shared" si="2"/>
        <v>60690</v>
      </c>
      <c r="Z12" s="72">
        <f t="shared" si="2"/>
        <v>88790</v>
      </c>
      <c r="AA12" s="73">
        <f>SUM(AA8:AA10)</f>
        <v>72160</v>
      </c>
      <c r="AB12" s="74">
        <f t="shared" ref="AB12:AL12" si="3">SUM(AB8:AB10)</f>
        <v>76750</v>
      </c>
      <c r="AC12" s="74">
        <f t="shared" si="3"/>
        <v>82490</v>
      </c>
      <c r="AD12" s="74">
        <f t="shared" si="3"/>
        <v>76940</v>
      </c>
      <c r="AE12" s="74">
        <f t="shared" si="3"/>
        <v>92680</v>
      </c>
      <c r="AF12" s="74">
        <f t="shared" si="3"/>
        <v>66580</v>
      </c>
      <c r="AG12" s="74">
        <f t="shared" si="3"/>
        <v>82160</v>
      </c>
      <c r="AH12" s="74">
        <f t="shared" si="3"/>
        <v>66810</v>
      </c>
      <c r="AI12" s="74">
        <f t="shared" si="3"/>
        <v>66970</v>
      </c>
      <c r="AJ12" s="74">
        <f t="shared" si="3"/>
        <v>69430</v>
      </c>
      <c r="AK12" s="74">
        <f t="shared" si="3"/>
        <v>61560</v>
      </c>
      <c r="AL12" s="75">
        <f t="shared" si="3"/>
        <v>73520</v>
      </c>
    </row>
    <row r="13" spans="2:38" ht="15.75" thickBot="1" x14ac:dyDescent="0.3">
      <c r="B13" s="76" t="s">
        <v>37</v>
      </c>
      <c r="C13" s="77">
        <f t="shared" ref="C13:Z13" si="4">SUM(C5:C8)</f>
        <v>458660</v>
      </c>
      <c r="D13" s="78">
        <f t="shared" si="4"/>
        <v>410440</v>
      </c>
      <c r="E13" s="78">
        <f t="shared" si="4"/>
        <v>463100</v>
      </c>
      <c r="F13" s="78">
        <f t="shared" si="4"/>
        <v>457740</v>
      </c>
      <c r="G13" s="78">
        <f t="shared" si="4"/>
        <v>557390</v>
      </c>
      <c r="H13" s="78">
        <f t="shared" si="4"/>
        <v>515910</v>
      </c>
      <c r="I13" s="78">
        <f t="shared" si="4"/>
        <v>488500</v>
      </c>
      <c r="J13" s="78">
        <f t="shared" si="4"/>
        <v>459110</v>
      </c>
      <c r="K13" s="78">
        <f t="shared" si="4"/>
        <v>450970</v>
      </c>
      <c r="L13" s="78">
        <f t="shared" si="4"/>
        <v>503760</v>
      </c>
      <c r="M13" s="78">
        <f t="shared" si="4"/>
        <v>476050</v>
      </c>
      <c r="N13" s="79">
        <f t="shared" si="4"/>
        <v>474830</v>
      </c>
      <c r="O13" s="77">
        <f t="shared" si="4"/>
        <v>470490</v>
      </c>
      <c r="P13" s="78">
        <f t="shared" si="4"/>
        <v>388340</v>
      </c>
      <c r="Q13" s="78">
        <f t="shared" si="4"/>
        <v>479410</v>
      </c>
      <c r="R13" s="78">
        <f t="shared" si="4"/>
        <v>531880</v>
      </c>
      <c r="S13" s="78">
        <f t="shared" si="4"/>
        <v>550960</v>
      </c>
      <c r="T13" s="78">
        <f t="shared" si="4"/>
        <v>514770</v>
      </c>
      <c r="U13" s="78">
        <f t="shared" si="4"/>
        <v>522140</v>
      </c>
      <c r="V13" s="78">
        <f t="shared" si="4"/>
        <v>423150</v>
      </c>
      <c r="W13" s="78">
        <f t="shared" si="4"/>
        <v>491730</v>
      </c>
      <c r="X13" s="78">
        <f t="shared" si="4"/>
        <v>522620</v>
      </c>
      <c r="Y13" s="78">
        <f t="shared" si="4"/>
        <v>499310</v>
      </c>
      <c r="Z13" s="80">
        <f t="shared" si="4"/>
        <v>549850</v>
      </c>
      <c r="AA13" s="81">
        <f>SUM(AA5:AA8)</f>
        <v>434140</v>
      </c>
      <c r="AB13" s="79">
        <f t="shared" ref="AB13:AL13" si="5">SUM(AB5:AB8)</f>
        <v>443600</v>
      </c>
      <c r="AC13" s="79">
        <f t="shared" si="5"/>
        <v>523150</v>
      </c>
      <c r="AD13" s="79">
        <f t="shared" si="5"/>
        <v>516310</v>
      </c>
      <c r="AE13" s="79">
        <f t="shared" si="5"/>
        <v>523800</v>
      </c>
      <c r="AF13" s="79">
        <f t="shared" si="5"/>
        <v>557840</v>
      </c>
      <c r="AG13" s="79">
        <f t="shared" si="5"/>
        <v>524750</v>
      </c>
      <c r="AH13" s="79">
        <f t="shared" si="5"/>
        <v>440540</v>
      </c>
      <c r="AI13" s="79">
        <f t="shared" si="5"/>
        <v>496940</v>
      </c>
      <c r="AJ13" s="79">
        <f t="shared" si="5"/>
        <v>459040</v>
      </c>
      <c r="AK13" s="79">
        <f t="shared" si="5"/>
        <v>463300</v>
      </c>
      <c r="AL13" s="82">
        <f t="shared" si="5"/>
        <v>526830</v>
      </c>
    </row>
    <row r="14" spans="2:38" s="84" customFormat="1" ht="15.6" customHeight="1" thickTop="1" thickBot="1" x14ac:dyDescent="0.25">
      <c r="B14" s="83" t="s">
        <v>38</v>
      </c>
      <c r="C14" s="331">
        <v>18472</v>
      </c>
      <c r="D14" s="332"/>
      <c r="E14" s="332"/>
      <c r="F14" s="332"/>
      <c r="G14" s="332"/>
      <c r="H14" s="332"/>
      <c r="I14" s="332"/>
      <c r="J14" s="332"/>
      <c r="K14" s="332"/>
      <c r="L14" s="332"/>
      <c r="M14" s="332"/>
      <c r="N14" s="333"/>
      <c r="O14" s="331">
        <v>18688</v>
      </c>
      <c r="P14" s="332"/>
      <c r="Q14" s="332"/>
      <c r="R14" s="332"/>
      <c r="S14" s="332"/>
      <c r="T14" s="332"/>
      <c r="U14" s="332"/>
      <c r="V14" s="332"/>
      <c r="W14" s="332"/>
      <c r="X14" s="332"/>
      <c r="Y14" s="332"/>
      <c r="Z14" s="333"/>
      <c r="AA14" s="331">
        <v>18881</v>
      </c>
      <c r="AB14" s="332"/>
      <c r="AC14" s="332"/>
      <c r="AD14" s="332"/>
      <c r="AE14" s="332"/>
      <c r="AF14" s="332"/>
      <c r="AG14" s="332"/>
      <c r="AH14" s="332"/>
      <c r="AI14" s="332"/>
      <c r="AJ14" s="332"/>
      <c r="AK14" s="332"/>
      <c r="AL14" s="333"/>
    </row>
    <row r="15" spans="2:38" ht="15.75" thickTop="1" x14ac:dyDescent="0.25">
      <c r="C15" s="85" t="s">
        <v>39</v>
      </c>
      <c r="Z15" s="86"/>
    </row>
    <row r="16" spans="2:38" x14ac:dyDescent="0.25">
      <c r="C16" s="85" t="s">
        <v>40</v>
      </c>
    </row>
    <row r="17" spans="3:31" ht="15.75" thickBot="1" x14ac:dyDescent="0.3">
      <c r="C17" s="85"/>
    </row>
    <row r="18" spans="3:31" ht="15.75" thickTop="1" x14ac:dyDescent="0.25">
      <c r="C18" s="87"/>
      <c r="D18" s="88"/>
      <c r="E18" s="88"/>
      <c r="F18" s="88"/>
      <c r="G18" s="88"/>
      <c r="H18" s="88"/>
      <c r="I18" s="88"/>
      <c r="J18" s="88"/>
      <c r="K18" s="88"/>
      <c r="L18" s="88"/>
      <c r="M18" s="89"/>
    </row>
    <row r="19" spans="3:31" ht="15.75" thickBot="1" x14ac:dyDescent="0.3">
      <c r="C19" s="90"/>
      <c r="D19" s="91" t="s">
        <v>41</v>
      </c>
      <c r="E19" s="91"/>
      <c r="F19" s="92" t="s">
        <v>140</v>
      </c>
      <c r="G19" s="93">
        <f>YEAR(O4)</f>
        <v>2020</v>
      </c>
      <c r="H19" s="93">
        <f>YEAR(AA4)</f>
        <v>2021</v>
      </c>
      <c r="J19" s="94" t="s">
        <v>42</v>
      </c>
      <c r="K19" s="95"/>
      <c r="L19" s="93" t="s">
        <v>43</v>
      </c>
      <c r="M19" s="96"/>
    </row>
    <row r="20" spans="3:31" ht="15.75" thickBot="1" x14ac:dyDescent="0.3">
      <c r="C20" s="90"/>
      <c r="D20" s="97" t="s">
        <v>29</v>
      </c>
      <c r="E20" s="98"/>
      <c r="F20" s="99">
        <f>SUM(C5:N5)/$C$14</f>
        <v>141.14443482026851</v>
      </c>
      <c r="G20" s="99">
        <f>SUM(O5:Z5)/$O$14</f>
        <v>143.43696489726028</v>
      </c>
      <c r="H20" s="99">
        <f>SUM(AA5:AL5)/$AA$14</f>
        <v>139.81727662729728</v>
      </c>
      <c r="I20" s="100">
        <f t="shared" ref="I20:I25" si="6">AVERAGE(F20:H20)</f>
        <v>141.46622544827537</v>
      </c>
      <c r="J20" s="101">
        <f>'2. Dimension ecopoint'!J4</f>
        <v>0.2</v>
      </c>
      <c r="K20" s="95"/>
      <c r="L20" s="99">
        <f t="shared" ref="L20:L25" si="7">AVERAGE(F20:H20)*(1+$J$20)</f>
        <v>169.75947053793044</v>
      </c>
      <c r="M20" s="96"/>
    </row>
    <row r="21" spans="3:31" x14ac:dyDescent="0.25">
      <c r="C21" s="90"/>
      <c r="D21" s="102" t="s">
        <v>30</v>
      </c>
      <c r="E21" s="103"/>
      <c r="F21" s="104">
        <f>SUM(C6:N6)/$C$14</f>
        <v>72.148116067561716</v>
      </c>
      <c r="G21" s="104">
        <f>SUM(O6:Z6)/$O$14</f>
        <v>70.107020547945211</v>
      </c>
      <c r="H21" s="104">
        <f>SUM(AA6:AL6)/$AA$14</f>
        <v>70.463428843811243</v>
      </c>
      <c r="I21" s="100">
        <f t="shared" si="6"/>
        <v>70.90618848643939</v>
      </c>
      <c r="J21" s="95"/>
      <c r="K21" s="95"/>
      <c r="L21" s="104">
        <f t="shared" si="7"/>
        <v>85.08742618372726</v>
      </c>
      <c r="M21" s="96"/>
      <c r="AE21" s="105"/>
    </row>
    <row r="22" spans="3:31" x14ac:dyDescent="0.25">
      <c r="C22" s="90"/>
      <c r="D22" s="106" t="s">
        <v>31</v>
      </c>
      <c r="E22" s="103"/>
      <c r="F22" s="107">
        <f>S27/$C$14</f>
        <v>69.530099610220873</v>
      </c>
      <c r="G22" s="107">
        <f>T27/$O$14</f>
        <v>71.982020547945211</v>
      </c>
      <c r="H22" s="107">
        <f>U27/$AA$14</f>
        <v>79.069964514591391</v>
      </c>
      <c r="I22" s="100">
        <f t="shared" si="6"/>
        <v>73.52736155758582</v>
      </c>
      <c r="J22" s="95"/>
      <c r="K22" s="95"/>
      <c r="L22" s="104">
        <f t="shared" si="7"/>
        <v>88.232833869102976</v>
      </c>
      <c r="M22" s="96"/>
    </row>
    <row r="23" spans="3:31" x14ac:dyDescent="0.25">
      <c r="C23" s="90"/>
      <c r="D23" s="102" t="s">
        <v>32</v>
      </c>
      <c r="E23" s="103"/>
      <c r="F23" s="104">
        <f>SUM(C8:N8)/$C$14</f>
        <v>37.354915547856216</v>
      </c>
      <c r="G23" s="104">
        <f>SUM(O8:Z8)/$O$14</f>
        <v>42.514982876712331</v>
      </c>
      <c r="H23" s="104">
        <f>SUM(AA8:AL8)/$AA$14</f>
        <v>40.875483290079977</v>
      </c>
      <c r="I23" s="100">
        <f t="shared" si="6"/>
        <v>40.248460571549508</v>
      </c>
      <c r="J23" s="95"/>
      <c r="K23" s="95"/>
      <c r="L23" s="104">
        <f t="shared" si="7"/>
        <v>48.298152685859407</v>
      </c>
      <c r="M23" s="96"/>
    </row>
    <row r="24" spans="3:31" x14ac:dyDescent="0.25">
      <c r="C24" s="90"/>
      <c r="D24" s="102" t="s">
        <v>44</v>
      </c>
      <c r="E24" s="108"/>
      <c r="F24" s="104">
        <f>SUM(C9:N9)/$C$14</f>
        <v>3.7749025552187092</v>
      </c>
      <c r="G24" s="104">
        <f>SUM(O9:Z9)/$O$14</f>
        <v>4.0748073630136989</v>
      </c>
      <c r="H24" s="104">
        <f>SUM(AA9:AL9)/$AA$14</f>
        <v>3.78634606217891</v>
      </c>
      <c r="I24" s="100">
        <f t="shared" si="6"/>
        <v>3.8786853268037724</v>
      </c>
      <c r="J24" s="95"/>
      <c r="K24" s="95"/>
      <c r="L24" s="104">
        <f t="shared" si="7"/>
        <v>4.6544223921645269</v>
      </c>
      <c r="M24" s="96"/>
    </row>
    <row r="25" spans="3:31" x14ac:dyDescent="0.25">
      <c r="C25" s="90"/>
      <c r="D25" s="109" t="s">
        <v>45</v>
      </c>
      <c r="E25" s="110"/>
      <c r="F25" s="111">
        <f>SUM(C10:N10)/$C$14</f>
        <v>2.0539194456474665</v>
      </c>
      <c r="G25" s="111">
        <f>SUM(O10:Z10)/$O$14</f>
        <v>1.8273758561643836</v>
      </c>
      <c r="H25" s="111">
        <f>SUM(AA10:AL10)/$AA$14</f>
        <v>2.3722260473491872</v>
      </c>
      <c r="I25" s="100">
        <f t="shared" si="6"/>
        <v>2.0845071163870124</v>
      </c>
      <c r="J25" s="95"/>
      <c r="K25" s="95"/>
      <c r="L25" s="111">
        <f t="shared" si="7"/>
        <v>2.5014085396644146</v>
      </c>
      <c r="M25" s="96"/>
      <c r="Q25" s="112" t="s">
        <v>46</v>
      </c>
      <c r="S25" s="113" t="str">
        <f>F19</f>
        <v>=ANNEE(C4)</v>
      </c>
      <c r="T25" s="113">
        <f t="shared" ref="T25:U25" si="8">G19</f>
        <v>2020</v>
      </c>
      <c r="U25" s="113">
        <f t="shared" si="8"/>
        <v>2021</v>
      </c>
    </row>
    <row r="26" spans="3:31" ht="15.75" thickBot="1" x14ac:dyDescent="0.3">
      <c r="C26" s="114"/>
      <c r="D26" s="115"/>
      <c r="E26" s="115"/>
      <c r="F26" s="115"/>
      <c r="G26" s="115"/>
      <c r="H26" s="115"/>
      <c r="I26" s="115"/>
      <c r="J26" s="115"/>
      <c r="K26" s="115"/>
      <c r="L26" s="115"/>
      <c r="M26" s="116"/>
      <c r="Q26" s="47" t="s">
        <v>47</v>
      </c>
      <c r="S26" s="117">
        <f>G7+H7+I7+J7</f>
        <v>428120</v>
      </c>
      <c r="T26" s="117">
        <f>S7+T7+U7+V7</f>
        <v>448400</v>
      </c>
      <c r="U26" s="117">
        <f>AE7+AF7+AG7+AH7</f>
        <v>497640</v>
      </c>
    </row>
    <row r="27" spans="3:31" ht="15.75" thickTop="1" x14ac:dyDescent="0.25">
      <c r="Q27" s="47" t="s">
        <v>48</v>
      </c>
      <c r="S27" s="118">
        <f t="shared" ref="S27:U27" si="9">S26*3</f>
        <v>1284360</v>
      </c>
      <c r="T27" s="118">
        <f t="shared" si="9"/>
        <v>1345200</v>
      </c>
      <c r="U27" s="118">
        <f t="shared" si="9"/>
        <v>1492920</v>
      </c>
    </row>
  </sheetData>
  <mergeCells count="4">
    <mergeCell ref="G2:K2"/>
    <mergeCell ref="C14:N14"/>
    <mergeCell ref="O14:Z14"/>
    <mergeCell ref="AA14:AL14"/>
  </mergeCells>
  <pageMargins left="0.25" right="0.25" top="0.75" bottom="0.75" header="0.3" footer="0.3"/>
  <pageSetup paperSize="256"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FF00"/>
  </sheetPr>
  <dimension ref="A1:Q62"/>
  <sheetViews>
    <sheetView showGridLines="0" zoomScale="80" zoomScaleNormal="80" workbookViewId="0">
      <selection activeCell="J22" sqref="J22"/>
    </sheetView>
  </sheetViews>
  <sheetFormatPr baseColWidth="10" defaultRowHeight="15" x14ac:dyDescent="0.25"/>
  <cols>
    <col min="1" max="1" width="8.7109375" customWidth="1"/>
    <col min="3" max="3" width="14" customWidth="1"/>
    <col min="4" max="4" width="13.5703125" bestFit="1" customWidth="1"/>
    <col min="5" max="5" width="16.28515625" customWidth="1"/>
    <col min="6" max="6" width="13.7109375" customWidth="1"/>
    <col min="7" max="7" width="14.7109375" customWidth="1"/>
    <col min="8" max="8" width="17.85546875" bestFit="1" customWidth="1"/>
    <col min="9" max="10" width="20.140625" customWidth="1"/>
    <col min="11" max="11" width="8.85546875" customWidth="1"/>
    <col min="12" max="12" width="6.42578125" customWidth="1"/>
    <col min="13" max="13" width="8" customWidth="1"/>
    <col min="14" max="14" width="9.7109375" customWidth="1"/>
    <col min="15" max="15" width="8.5703125" customWidth="1"/>
    <col min="16" max="16" width="10.5703125" customWidth="1"/>
  </cols>
  <sheetData>
    <row r="1" spans="1:17" x14ac:dyDescent="0.25">
      <c r="A1" s="179" t="s">
        <v>77</v>
      </c>
    </row>
    <row r="2" spans="1:17" ht="115.9" customHeight="1" x14ac:dyDescent="0.25">
      <c r="A2" s="230"/>
    </row>
    <row r="3" spans="1:17" ht="15.75" thickBot="1" x14ac:dyDescent="0.3">
      <c r="I3" s="180" t="s">
        <v>78</v>
      </c>
      <c r="J3" s="313">
        <f>'Dimension prive en surface'!H18</f>
        <v>0</v>
      </c>
      <c r="K3" s="47" t="s">
        <v>108</v>
      </c>
    </row>
    <row r="4" spans="1:17" ht="15.75" thickBot="1" x14ac:dyDescent="0.3">
      <c r="B4" s="181" t="s">
        <v>107</v>
      </c>
      <c r="C4" s="181"/>
      <c r="D4" s="181"/>
      <c r="E4" s="181"/>
      <c r="I4" s="180" t="s">
        <v>124</v>
      </c>
      <c r="J4" s="182">
        <v>0.2</v>
      </c>
      <c r="K4" s="183"/>
    </row>
    <row r="5" spans="1:17" x14ac:dyDescent="0.25">
      <c r="I5" s="180" t="s">
        <v>125</v>
      </c>
      <c r="J5" s="182">
        <v>0.8</v>
      </c>
      <c r="K5" s="183"/>
    </row>
    <row r="6" spans="1:17" ht="24" customHeight="1" x14ac:dyDescent="0.25">
      <c r="E6" s="184"/>
      <c r="M6" s="336" t="s">
        <v>79</v>
      </c>
      <c r="N6" s="337"/>
      <c r="O6" s="337"/>
      <c r="P6" s="338"/>
    </row>
    <row r="7" spans="1:17" ht="48" x14ac:dyDescent="0.25">
      <c r="B7" s="112"/>
      <c r="C7" s="112"/>
      <c r="D7" s="185" t="s">
        <v>80</v>
      </c>
      <c r="E7" s="185" t="s">
        <v>81</v>
      </c>
      <c r="F7" s="185" t="s">
        <v>82</v>
      </c>
      <c r="G7" s="186" t="s">
        <v>83</v>
      </c>
      <c r="H7" s="186" t="s">
        <v>84</v>
      </c>
      <c r="I7" s="186" t="s">
        <v>85</v>
      </c>
      <c r="J7" s="186" t="s">
        <v>86</v>
      </c>
      <c r="K7" s="187"/>
      <c r="L7" s="188"/>
      <c r="M7" s="189">
        <v>360</v>
      </c>
      <c r="N7" s="189">
        <v>770</v>
      </c>
      <c r="O7" s="189">
        <v>3000</v>
      </c>
      <c r="P7" s="189">
        <v>5000</v>
      </c>
    </row>
    <row r="8" spans="1:17" x14ac:dyDescent="0.25">
      <c r="B8" s="339" t="s">
        <v>29</v>
      </c>
      <c r="C8" s="340"/>
      <c r="D8" s="300">
        <f>H23</f>
        <v>125</v>
      </c>
      <c r="E8" s="190">
        <f>'1. Stat dechet'!L20</f>
        <v>169.75947053793044</v>
      </c>
      <c r="F8" s="191">
        <v>1</v>
      </c>
      <c r="G8" s="301">
        <f>E8/(F8*52)</f>
        <v>3.2646052026525085</v>
      </c>
      <c r="H8" s="302">
        <f t="shared" ref="H8:H13" si="0">G8/D8*1000</f>
        <v>26.116841621220068</v>
      </c>
      <c r="I8" s="301">
        <f>G8*$J$3</f>
        <v>0</v>
      </c>
      <c r="J8" s="303">
        <f t="shared" ref="J8:J13" si="1">I8/D8*1000</f>
        <v>0</v>
      </c>
      <c r="L8" s="252" t="s">
        <v>56</v>
      </c>
      <c r="M8" s="262">
        <f>$J8/($J$5*M$7)</f>
        <v>0</v>
      </c>
      <c r="N8" s="262">
        <f>$J8/($J$5*N$7)</f>
        <v>0</v>
      </c>
      <c r="O8" s="262">
        <f>$J8/($J$5*O$7)</f>
        <v>0</v>
      </c>
      <c r="P8" s="262">
        <f>$J8/($J$5*P$7)</f>
        <v>0</v>
      </c>
      <c r="Q8" s="47"/>
    </row>
    <row r="9" spans="1:17" ht="14.45" customHeight="1" x14ac:dyDescent="0.25">
      <c r="B9" s="334" t="s">
        <v>32</v>
      </c>
      <c r="C9" s="335"/>
      <c r="D9" s="256">
        <f>H24</f>
        <v>400</v>
      </c>
      <c r="E9" s="250">
        <f>'1. Stat dechet'!L23</f>
        <v>48.298152685859407</v>
      </c>
      <c r="F9" s="251">
        <v>1</v>
      </c>
      <c r="G9" s="304">
        <f t="shared" ref="G9:G13" si="2">E9/(F9*52)</f>
        <v>0.92881062857421937</v>
      </c>
      <c r="H9" s="305">
        <f t="shared" si="0"/>
        <v>2.3220265714355484</v>
      </c>
      <c r="I9" s="304">
        <f>G9*$J$3</f>
        <v>0</v>
      </c>
      <c r="J9" s="306">
        <f t="shared" si="1"/>
        <v>0</v>
      </c>
      <c r="L9" s="249" t="s">
        <v>32</v>
      </c>
      <c r="M9" s="263" t="str">
        <f>"-"</f>
        <v>-</v>
      </c>
      <c r="N9" s="263" t="str">
        <f>"-"</f>
        <v>-</v>
      </c>
      <c r="O9" s="264">
        <v>3</v>
      </c>
      <c r="P9" s="263" t="str">
        <f>"-"</f>
        <v>-</v>
      </c>
      <c r="Q9" s="172" t="s">
        <v>116</v>
      </c>
    </row>
    <row r="10" spans="1:17" x14ac:dyDescent="0.25">
      <c r="B10" s="334" t="s">
        <v>30</v>
      </c>
      <c r="C10" s="335"/>
      <c r="D10" s="256">
        <f>H25</f>
        <v>50</v>
      </c>
      <c r="E10" s="250">
        <f>'1. Stat dechet'!L21</f>
        <v>85.08742618372726</v>
      </c>
      <c r="F10" s="251">
        <v>1</v>
      </c>
      <c r="G10" s="304">
        <f t="shared" si="2"/>
        <v>1.6362966573793705</v>
      </c>
      <c r="H10" s="305">
        <f t="shared" si="0"/>
        <v>32.725933147587405</v>
      </c>
      <c r="I10" s="304">
        <f>G10*$J$3</f>
        <v>0</v>
      </c>
      <c r="J10" s="306">
        <f>I10/D10*1000</f>
        <v>0</v>
      </c>
      <c r="L10" s="253" t="s">
        <v>30</v>
      </c>
      <c r="M10" s="265">
        <f>$J10/($J$5*M$7)</f>
        <v>0</v>
      </c>
      <c r="N10" s="265">
        <f>$J10/($J$5*N$7)</f>
        <v>0</v>
      </c>
      <c r="O10" s="265">
        <f>$J10/($J$5*O$7)</f>
        <v>0</v>
      </c>
      <c r="P10" s="265">
        <f>$J10/($J$5*P$7)</f>
        <v>0</v>
      </c>
      <c r="Q10" s="47"/>
    </row>
    <row r="11" spans="1:17" x14ac:dyDescent="0.25">
      <c r="B11" s="341" t="s">
        <v>31</v>
      </c>
      <c r="C11" s="342"/>
      <c r="D11" s="256">
        <f>H26</f>
        <v>400</v>
      </c>
      <c r="E11" s="250">
        <f>'1. Stat dechet'!L22</f>
        <v>88.232833869102976</v>
      </c>
      <c r="F11" s="251">
        <v>1</v>
      </c>
      <c r="G11" s="304">
        <f t="shared" si="2"/>
        <v>1.6967852667135188</v>
      </c>
      <c r="H11" s="305">
        <f t="shared" si="0"/>
        <v>4.2419631667837976</v>
      </c>
      <c r="I11" s="304">
        <f>G11*$J$3</f>
        <v>0</v>
      </c>
      <c r="J11" s="306">
        <f t="shared" si="1"/>
        <v>0</v>
      </c>
      <c r="L11" s="254" t="s">
        <v>51</v>
      </c>
      <c r="M11" s="266">
        <f>$J11/($J$5*M$7)</f>
        <v>0</v>
      </c>
      <c r="N11" s="267" t="s">
        <v>59</v>
      </c>
      <c r="O11" s="266" t="str">
        <f t="shared" ref="O11:P13" si="3">"-"</f>
        <v>-</v>
      </c>
      <c r="P11" s="266" t="str">
        <f t="shared" si="3"/>
        <v>-</v>
      </c>
      <c r="Q11" s="47" t="s">
        <v>122</v>
      </c>
    </row>
    <row r="12" spans="1:17" x14ac:dyDescent="0.25">
      <c r="B12" s="334" t="s">
        <v>33</v>
      </c>
      <c r="C12" s="335"/>
      <c r="D12" s="256">
        <v>30</v>
      </c>
      <c r="E12" s="250">
        <f>'1. Stat dechet'!L24</f>
        <v>4.6544223921645269</v>
      </c>
      <c r="F12" s="251">
        <v>5</v>
      </c>
      <c r="G12" s="304">
        <f t="shared" si="2"/>
        <v>1.7901624585248181E-2</v>
      </c>
      <c r="H12" s="305">
        <f t="shared" si="0"/>
        <v>0.59672081950827272</v>
      </c>
      <c r="I12" s="304">
        <f t="shared" ref="I12:I13" si="4">G12*$J$3</f>
        <v>0</v>
      </c>
      <c r="J12" s="306">
        <f t="shared" si="1"/>
        <v>0</v>
      </c>
      <c r="K12" s="200"/>
      <c r="L12" s="255" t="s">
        <v>44</v>
      </c>
      <c r="M12" s="268">
        <f>$J12/($J$5*M$7)</f>
        <v>0</v>
      </c>
      <c r="N12" s="269" t="s">
        <v>59</v>
      </c>
      <c r="O12" s="268" t="str">
        <f t="shared" si="3"/>
        <v>-</v>
      </c>
      <c r="P12" s="268" t="str">
        <f t="shared" si="3"/>
        <v>-</v>
      </c>
      <c r="Q12" s="47" t="s">
        <v>122</v>
      </c>
    </row>
    <row r="13" spans="1:17" x14ac:dyDescent="0.25">
      <c r="B13" s="345" t="s">
        <v>87</v>
      </c>
      <c r="C13" s="346"/>
      <c r="D13" s="307">
        <f>H28</f>
        <v>100</v>
      </c>
      <c r="E13" s="193">
        <f>'1. Stat dechet'!L25</f>
        <v>2.5014085396644146</v>
      </c>
      <c r="F13" s="194">
        <v>5</v>
      </c>
      <c r="G13" s="301">
        <f t="shared" si="2"/>
        <v>9.6208020756323644E-3</v>
      </c>
      <c r="H13" s="302">
        <f t="shared" si="0"/>
        <v>9.6208020756323648E-2</v>
      </c>
      <c r="I13" s="301">
        <f t="shared" si="4"/>
        <v>0</v>
      </c>
      <c r="J13" s="308">
        <f t="shared" si="1"/>
        <v>0</v>
      </c>
      <c r="L13" s="224" t="s">
        <v>52</v>
      </c>
      <c r="M13" s="270">
        <f>$J13/($J$5*M$7)</f>
        <v>0</v>
      </c>
      <c r="N13" s="271" t="s">
        <v>59</v>
      </c>
      <c r="O13" s="272" t="str">
        <f t="shared" si="3"/>
        <v>-</v>
      </c>
      <c r="P13" s="270" t="str">
        <f t="shared" si="3"/>
        <v>-</v>
      </c>
      <c r="Q13" s="47" t="s">
        <v>122</v>
      </c>
    </row>
    <row r="14" spans="1:17" x14ac:dyDescent="0.25">
      <c r="B14" s="347" t="s">
        <v>35</v>
      </c>
      <c r="C14" s="348"/>
      <c r="D14" s="195"/>
      <c r="E14" s="228">
        <f>SUM(E8:E13)</f>
        <v>398.533714208449</v>
      </c>
      <c r="F14" s="195"/>
      <c r="G14" s="196"/>
      <c r="H14" s="196"/>
      <c r="I14" s="195"/>
      <c r="J14" s="195"/>
      <c r="K14" s="187"/>
      <c r="L14" s="197"/>
      <c r="M14" s="198"/>
      <c r="N14" s="198"/>
      <c r="O14" s="198"/>
      <c r="P14" s="199"/>
      <c r="Q14" s="197"/>
    </row>
    <row r="15" spans="1:17" x14ac:dyDescent="0.25">
      <c r="B15" s="341" t="s">
        <v>36</v>
      </c>
      <c r="C15" s="349"/>
      <c r="D15" s="200"/>
      <c r="E15" s="201">
        <f>SUM(E9+E10+E11+E12+E13)</f>
        <v>228.77424367051859</v>
      </c>
      <c r="F15" s="200"/>
      <c r="G15" s="202"/>
      <c r="H15" s="202"/>
      <c r="I15" s="200"/>
      <c r="J15" s="200"/>
      <c r="K15" s="187"/>
      <c r="L15" s="197"/>
      <c r="M15" s="197"/>
      <c r="N15" s="197"/>
      <c r="O15" s="197"/>
      <c r="P15" s="197"/>
      <c r="Q15" s="197"/>
    </row>
    <row r="16" spans="1:17" x14ac:dyDescent="0.25">
      <c r="B16" s="345" t="s">
        <v>37</v>
      </c>
      <c r="C16" s="346"/>
      <c r="D16" s="203"/>
      <c r="E16" s="204">
        <f>E8+E10+E11</f>
        <v>343.07973059076068</v>
      </c>
      <c r="F16" s="203"/>
      <c r="G16" s="205"/>
      <c r="H16" s="205"/>
      <c r="I16" s="203"/>
      <c r="J16" s="203"/>
      <c r="K16" s="187"/>
      <c r="L16" s="197"/>
      <c r="M16" s="197"/>
      <c r="N16" s="197"/>
      <c r="O16" s="197"/>
      <c r="P16" s="197"/>
      <c r="Q16" s="197"/>
    </row>
    <row r="17" spans="2:13" x14ac:dyDescent="0.25">
      <c r="B17" s="206"/>
    </row>
    <row r="18" spans="2:13" ht="15.75" thickBot="1" x14ac:dyDescent="0.3"/>
    <row r="19" spans="2:13" ht="15.75" thickBot="1" x14ac:dyDescent="0.3">
      <c r="B19" s="181" t="s">
        <v>88</v>
      </c>
      <c r="C19" s="207"/>
      <c r="D19" s="208"/>
    </row>
    <row r="20" spans="2:13" x14ac:dyDescent="0.25">
      <c r="I20" s="209"/>
      <c r="J20" s="209"/>
      <c r="K20" s="209"/>
      <c r="L20" s="209"/>
      <c r="M20" s="210"/>
    </row>
    <row r="21" spans="2:13" x14ac:dyDescent="0.25">
      <c r="I21" s="209"/>
      <c r="J21" s="209"/>
      <c r="K21" s="209"/>
      <c r="L21" s="209"/>
    </row>
    <row r="22" spans="2:13" ht="35.450000000000003" customHeight="1" x14ac:dyDescent="0.25">
      <c r="B22" s="343" t="s">
        <v>89</v>
      </c>
      <c r="C22" s="344"/>
      <c r="D22" s="257" t="s">
        <v>90</v>
      </c>
      <c r="E22" s="258" t="s">
        <v>91</v>
      </c>
      <c r="F22" s="258" t="s">
        <v>92</v>
      </c>
      <c r="G22" s="259" t="s">
        <v>93</v>
      </c>
      <c r="H22" s="260" t="s">
        <v>114</v>
      </c>
      <c r="I22" s="209"/>
      <c r="J22" s="211"/>
      <c r="K22" s="212"/>
      <c r="L22" s="209"/>
    </row>
    <row r="23" spans="2:13" x14ac:dyDescent="0.25">
      <c r="B23" s="213" t="s">
        <v>29</v>
      </c>
      <c r="C23" s="214"/>
      <c r="D23" s="287" t="s">
        <v>94</v>
      </c>
      <c r="E23" s="288">
        <v>150</v>
      </c>
      <c r="F23" s="289">
        <v>100</v>
      </c>
      <c r="G23" s="289"/>
      <c r="H23" s="190">
        <v>125</v>
      </c>
      <c r="I23" s="209"/>
      <c r="J23" s="209"/>
      <c r="K23" s="215"/>
      <c r="L23" s="216"/>
    </row>
    <row r="24" spans="2:13" x14ac:dyDescent="0.25">
      <c r="B24" s="217" t="s">
        <v>32</v>
      </c>
      <c r="C24" s="218"/>
      <c r="D24" s="290" t="s">
        <v>95</v>
      </c>
      <c r="E24" s="291">
        <v>400</v>
      </c>
      <c r="F24" s="292">
        <v>350</v>
      </c>
      <c r="G24" s="292">
        <v>400</v>
      </c>
      <c r="H24" s="286">
        <v>400</v>
      </c>
      <c r="I24" s="209"/>
      <c r="J24" s="209"/>
      <c r="K24" s="215"/>
      <c r="L24" s="216"/>
    </row>
    <row r="25" spans="2:13" x14ac:dyDescent="0.25">
      <c r="B25" s="217" t="s">
        <v>30</v>
      </c>
      <c r="C25" s="218"/>
      <c r="D25" s="293" t="s">
        <v>96</v>
      </c>
      <c r="E25" s="294">
        <v>200</v>
      </c>
      <c r="F25" s="295">
        <v>200</v>
      </c>
      <c r="G25" s="296">
        <v>280</v>
      </c>
      <c r="H25" s="286">
        <v>50</v>
      </c>
      <c r="I25" s="261" t="s">
        <v>115</v>
      </c>
      <c r="J25" s="209"/>
      <c r="K25" s="215"/>
      <c r="L25" s="216"/>
    </row>
    <row r="26" spans="2:13" x14ac:dyDescent="0.25">
      <c r="B26" s="219" t="s">
        <v>31</v>
      </c>
      <c r="C26" s="220"/>
      <c r="D26" s="293" t="s">
        <v>97</v>
      </c>
      <c r="E26" s="294">
        <v>500</v>
      </c>
      <c r="F26" s="296">
        <v>500</v>
      </c>
      <c r="G26" s="296">
        <v>300</v>
      </c>
      <c r="H26" s="250">
        <v>400</v>
      </c>
      <c r="I26" s="209"/>
      <c r="J26" s="209"/>
      <c r="K26" s="221"/>
      <c r="L26" s="216"/>
      <c r="M26" s="314"/>
    </row>
    <row r="27" spans="2:13" x14ac:dyDescent="0.25">
      <c r="B27" s="217" t="s">
        <v>44</v>
      </c>
      <c r="C27" s="218"/>
      <c r="D27" s="293"/>
      <c r="E27" s="294"/>
      <c r="F27" s="296">
        <v>30</v>
      </c>
      <c r="G27" s="296"/>
      <c r="H27" s="192">
        <v>30</v>
      </c>
      <c r="I27" s="209"/>
      <c r="J27" s="209"/>
      <c r="K27" s="221"/>
      <c r="L27" s="216"/>
    </row>
    <row r="28" spans="2:13" x14ac:dyDescent="0.25">
      <c r="B28" s="222" t="s">
        <v>87</v>
      </c>
      <c r="C28" s="223"/>
      <c r="D28" s="297" t="s">
        <v>98</v>
      </c>
      <c r="E28" s="298"/>
      <c r="F28" s="299"/>
      <c r="G28" s="299"/>
      <c r="H28" s="285">
        <v>100</v>
      </c>
      <c r="K28" s="225"/>
      <c r="L28" s="143"/>
    </row>
    <row r="29" spans="2:13" ht="22.9" customHeight="1" x14ac:dyDescent="0.25">
      <c r="D29" s="231" t="s">
        <v>99</v>
      </c>
      <c r="E29" s="232"/>
      <c r="F29" s="233" t="s">
        <v>100</v>
      </c>
      <c r="G29" s="234" t="s">
        <v>101</v>
      </c>
    </row>
    <row r="31" spans="2:13" ht="15.75" thickBot="1" x14ac:dyDescent="0.3"/>
    <row r="32" spans="2:13" ht="15.75" thickBot="1" x14ac:dyDescent="0.3">
      <c r="B32" s="181" t="s">
        <v>109</v>
      </c>
      <c r="C32" s="208"/>
    </row>
    <row r="34" spans="1:11" x14ac:dyDescent="0.25">
      <c r="B34" s="284" t="s">
        <v>119</v>
      </c>
    </row>
    <row r="35" spans="1:11" ht="15" customHeight="1" x14ac:dyDescent="0.25"/>
    <row r="36" spans="1:11" s="47" customFormat="1" ht="24.75" x14ac:dyDescent="0.25">
      <c r="D36" s="278" t="s">
        <v>102</v>
      </c>
      <c r="E36" s="244" t="s">
        <v>117</v>
      </c>
      <c r="J36"/>
      <c r="K36"/>
    </row>
    <row r="37" spans="1:11" s="47" customFormat="1" ht="14.1" customHeight="1" x14ac:dyDescent="0.25">
      <c r="C37" s="242" t="s">
        <v>111</v>
      </c>
      <c r="D37" s="282">
        <f>ROUNDUP(M11,0)+ROUNDUP(M12,0)+ROUNDUP(M13,0)</f>
        <v>0</v>
      </c>
      <c r="E37" s="248">
        <f>D37*1</f>
        <v>0</v>
      </c>
      <c r="J37"/>
      <c r="K37"/>
    </row>
    <row r="38" spans="1:11" s="47" customFormat="1" ht="27" customHeight="1" x14ac:dyDescent="0.25">
      <c r="C38" s="275" t="s">
        <v>110</v>
      </c>
      <c r="D38" s="282">
        <f>ROUNDUP(P8,0)+ROUNDUP(P10,0)+3</f>
        <v>3</v>
      </c>
      <c r="E38" s="248">
        <f>IF(D38=0,0,(D38*2+1)*3)</f>
        <v>21</v>
      </c>
      <c r="J38"/>
      <c r="K38"/>
    </row>
    <row r="39" spans="1:11" s="47" customFormat="1" ht="27" customHeight="1" x14ac:dyDescent="0.25">
      <c r="C39" s="274" t="s">
        <v>112</v>
      </c>
      <c r="D39" s="273">
        <v>3</v>
      </c>
      <c r="E39" s="248">
        <f>D39*1</f>
        <v>3</v>
      </c>
      <c r="J39"/>
      <c r="K39"/>
    </row>
    <row r="40" spans="1:11" s="47" customFormat="1" ht="27" customHeight="1" thickBot="1" x14ac:dyDescent="0.3">
      <c r="C40" s="310" t="s">
        <v>113</v>
      </c>
      <c r="D40" s="311">
        <v>0</v>
      </c>
      <c r="E40" s="312">
        <f>IF(D40=0,0,(D40*2+1)*3)</f>
        <v>0</v>
      </c>
      <c r="J40"/>
      <c r="K40"/>
    </row>
    <row r="41" spans="1:11" ht="15.75" thickBot="1" x14ac:dyDescent="0.3">
      <c r="B41" s="281"/>
      <c r="C41" s="309"/>
      <c r="D41" s="246" t="s">
        <v>103</v>
      </c>
      <c r="E41" s="247">
        <f>ROUNDUP(SUM(E37:E40)*1.1,0)</f>
        <v>27</v>
      </c>
      <c r="F41" s="243"/>
    </row>
    <row r="43" spans="1:11" x14ac:dyDescent="0.25">
      <c r="A43" s="184"/>
      <c r="B43" s="239"/>
      <c r="C43" s="184"/>
      <c r="D43" s="184"/>
      <c r="E43" s="184"/>
      <c r="F43" s="184"/>
    </row>
    <row r="44" spans="1:11" x14ac:dyDescent="0.25">
      <c r="A44" s="184"/>
      <c r="B44" s="284" t="s">
        <v>120</v>
      </c>
      <c r="C44" s="184"/>
      <c r="D44" s="184"/>
      <c r="E44" s="241"/>
      <c r="F44" s="184"/>
    </row>
    <row r="45" spans="1:11" x14ac:dyDescent="0.25">
      <c r="A45" s="184"/>
      <c r="B45" s="184"/>
      <c r="C45" s="184"/>
      <c r="D45" s="184"/>
      <c r="E45" s="184"/>
      <c r="F45" s="184"/>
    </row>
    <row r="46" spans="1:11" ht="24.75" x14ac:dyDescent="0.25">
      <c r="A46" s="184"/>
      <c r="B46" s="184"/>
      <c r="C46" s="47"/>
      <c r="D46" s="278" t="s">
        <v>102</v>
      </c>
      <c r="E46" s="244" t="s">
        <v>118</v>
      </c>
    </row>
    <row r="47" spans="1:11" x14ac:dyDescent="0.25">
      <c r="A47" s="184"/>
      <c r="B47" s="184"/>
      <c r="C47" s="242" t="s">
        <v>111</v>
      </c>
      <c r="D47" s="283">
        <f>ROUNDUP(M11,0)</f>
        <v>0</v>
      </c>
      <c r="E47" s="279">
        <f>D47*1</f>
        <v>0</v>
      </c>
    </row>
    <row r="48" spans="1:11" ht="24.75" x14ac:dyDescent="0.25">
      <c r="C48" s="274" t="s">
        <v>110</v>
      </c>
      <c r="D48" s="282">
        <f>ROUNDUP(P8,0)+ROUNDUP(P10,0)</f>
        <v>0</v>
      </c>
      <c r="E48" s="248">
        <f>IF(D48=0,0,(D48*2+1)*3)</f>
        <v>0</v>
      </c>
    </row>
    <row r="49" spans="2:8" ht="24.75" x14ac:dyDescent="0.25">
      <c r="C49" s="245" t="s">
        <v>112</v>
      </c>
      <c r="D49" s="276">
        <v>0</v>
      </c>
      <c r="E49" s="248">
        <f>D49*1</f>
        <v>0</v>
      </c>
    </row>
    <row r="50" spans="2:8" ht="18" customHeight="1" thickBot="1" x14ac:dyDescent="0.3">
      <c r="C50" s="277" t="s">
        <v>113</v>
      </c>
      <c r="D50" s="240">
        <v>0</v>
      </c>
      <c r="E50" s="248">
        <f>IF(D50=0,0,(D50*2+1)*3)</f>
        <v>0</v>
      </c>
    </row>
    <row r="51" spans="2:8" ht="15.75" thickBot="1" x14ac:dyDescent="0.3">
      <c r="C51" s="280"/>
      <c r="D51" s="226" t="s">
        <v>103</v>
      </c>
      <c r="E51" s="227">
        <f>ROUNDUP(SUM(E47:E50)*1.2,0)</f>
        <v>0</v>
      </c>
      <c r="F51" s="243"/>
    </row>
    <row r="52" spans="2:8" x14ac:dyDescent="0.25">
      <c r="F52" s="197"/>
    </row>
    <row r="53" spans="2:8" x14ac:dyDescent="0.25">
      <c r="B53" s="284" t="s">
        <v>126</v>
      </c>
      <c r="C53" s="184"/>
      <c r="D53" s="184"/>
      <c r="E53" s="241"/>
      <c r="F53" s="184"/>
      <c r="G53" s="318"/>
      <c r="H53" s="318"/>
    </row>
    <row r="54" spans="2:8" x14ac:dyDescent="0.25">
      <c r="B54" s="184"/>
      <c r="C54" s="184"/>
      <c r="D54" s="184"/>
      <c r="E54" s="184"/>
      <c r="F54" s="184"/>
      <c r="G54" s="318"/>
      <c r="H54" s="318"/>
    </row>
    <row r="55" spans="2:8" x14ac:dyDescent="0.25">
      <c r="B55" s="184"/>
      <c r="C55" s="47"/>
      <c r="D55" s="47"/>
      <c r="E55" s="320"/>
      <c r="F55" s="318"/>
      <c r="G55" s="318"/>
    </row>
    <row r="56" spans="2:8" x14ac:dyDescent="0.25">
      <c r="B56" s="184"/>
      <c r="C56" s="242" t="s">
        <v>127</v>
      </c>
      <c r="D56" s="319">
        <f>IF(M8&gt;1,ROUNDUP(N8,0)*2,ROUNDUP(M8,0))</f>
        <v>0</v>
      </c>
      <c r="E56" s="257" t="s">
        <v>131</v>
      </c>
      <c r="F56" s="318"/>
      <c r="G56" s="318"/>
    </row>
    <row r="57" spans="2:8" ht="24.75" x14ac:dyDescent="0.25">
      <c r="B57" s="318"/>
      <c r="C57" s="274" t="s">
        <v>129</v>
      </c>
      <c r="D57" s="319">
        <f>IF(M10&gt;1,ROUNDUP(N10,0)*2,ROUNDUP(M10,0))</f>
        <v>0</v>
      </c>
      <c r="E57" s="257" t="s">
        <v>131</v>
      </c>
      <c r="F57" s="318"/>
      <c r="G57" s="318"/>
    </row>
    <row r="58" spans="2:8" s="318" customFormat="1" x14ac:dyDescent="0.25">
      <c r="C58" s="245" t="s">
        <v>128</v>
      </c>
      <c r="D58" s="319">
        <f>ROUNDUP(M11,0)</f>
        <v>0</v>
      </c>
      <c r="E58" s="257" t="s">
        <v>131</v>
      </c>
    </row>
    <row r="59" spans="2:8" ht="25.5" thickBot="1" x14ac:dyDescent="0.3">
      <c r="B59" s="318"/>
      <c r="C59" s="310" t="s">
        <v>112</v>
      </c>
      <c r="D59" s="276">
        <v>0</v>
      </c>
      <c r="E59" s="257" t="s">
        <v>130</v>
      </c>
      <c r="F59" s="318"/>
      <c r="G59" s="318"/>
    </row>
    <row r="60" spans="2:8" ht="15.75" thickBot="1" x14ac:dyDescent="0.3">
      <c r="B60" s="318"/>
      <c r="C60" s="226" t="s">
        <v>103</v>
      </c>
      <c r="D60" s="321">
        <f>ROUNDUP(SUM(D56:D59)*1.1,0)</f>
        <v>0</v>
      </c>
      <c r="E60" s="243"/>
      <c r="F60" s="318"/>
      <c r="G60" s="318"/>
    </row>
    <row r="61" spans="2:8" s="318" customFormat="1" x14ac:dyDescent="0.25">
      <c r="C61" s="197"/>
      <c r="D61" s="317"/>
      <c r="E61" s="316"/>
      <c r="F61" s="316"/>
    </row>
    <row r="62" spans="2:8" x14ac:dyDescent="0.25">
      <c r="B62" t="s">
        <v>121</v>
      </c>
    </row>
  </sheetData>
  <mergeCells count="11">
    <mergeCell ref="B22:C22"/>
    <mergeCell ref="B13:C13"/>
    <mergeCell ref="B14:C14"/>
    <mergeCell ref="B15:C15"/>
    <mergeCell ref="B16:C16"/>
    <mergeCell ref="B12:C12"/>
    <mergeCell ref="M6:P6"/>
    <mergeCell ref="B8:C8"/>
    <mergeCell ref="B9:C9"/>
    <mergeCell ref="B10:C10"/>
    <mergeCell ref="B11:C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R43"/>
  <sheetViews>
    <sheetView showGridLines="0" tabSelected="1" zoomScale="80" zoomScaleNormal="80" workbookViewId="0">
      <selection activeCell="C41" sqref="C41"/>
    </sheetView>
  </sheetViews>
  <sheetFormatPr baseColWidth="10" defaultColWidth="11.5703125" defaultRowHeight="15" x14ac:dyDescent="0.25"/>
  <cols>
    <col min="1" max="1" width="1.28515625" style="1" customWidth="1"/>
    <col min="2" max="2" width="21.42578125" style="1" customWidth="1"/>
    <col min="3" max="3" width="14.5703125" style="1" customWidth="1"/>
    <col min="4" max="4" width="25.7109375" style="1" customWidth="1"/>
    <col min="5" max="5" width="2.85546875" style="1" customWidth="1"/>
    <col min="6" max="6" width="3.5703125" style="1" customWidth="1"/>
    <col min="7" max="7" width="23.7109375" style="1" customWidth="1"/>
    <col min="8" max="8" width="11.5703125" style="1"/>
    <col min="9" max="9" width="3.28515625" style="1" customWidth="1"/>
    <col min="10" max="10" width="14.7109375" style="1" customWidth="1"/>
    <col min="11" max="11" width="1.7109375" style="1" customWidth="1"/>
    <col min="12" max="12" width="11.5703125" style="1"/>
    <col min="13" max="13" width="13.5703125" style="1" customWidth="1"/>
    <col min="14" max="16384" width="11.5703125" style="1"/>
  </cols>
  <sheetData>
    <row r="1" spans="2:18" ht="6.6" customHeight="1" x14ac:dyDescent="0.25"/>
    <row r="2" spans="2:18" ht="16.899999999999999" customHeight="1" x14ac:dyDescent="0.35">
      <c r="B2" s="2" t="s">
        <v>18</v>
      </c>
      <c r="C2" s="3"/>
      <c r="D2" s="3"/>
      <c r="E2" s="3"/>
      <c r="F2" s="3"/>
      <c r="G2" s="3"/>
      <c r="H2" s="3"/>
      <c r="I2" s="3"/>
      <c r="J2" s="3"/>
      <c r="K2" s="3"/>
      <c r="L2" s="3"/>
      <c r="M2" s="3"/>
      <c r="N2" s="3"/>
      <c r="O2" s="3"/>
      <c r="P2" s="3"/>
      <c r="Q2" s="3"/>
      <c r="R2" s="3"/>
    </row>
    <row r="3" spans="2:18" ht="6.6" customHeight="1" thickBot="1" x14ac:dyDescent="0.3">
      <c r="K3" s="4"/>
    </row>
    <row r="4" spans="2:18" ht="15" customHeight="1" thickBot="1" x14ac:dyDescent="0.3">
      <c r="B4" s="238" t="s">
        <v>16</v>
      </c>
      <c r="K4" s="4"/>
      <c r="L4" s="238" t="s">
        <v>17</v>
      </c>
      <c r="M4" s="238"/>
    </row>
    <row r="5" spans="2:18" ht="5.45" customHeight="1" x14ac:dyDescent="0.25">
      <c r="K5" s="4"/>
    </row>
    <row r="6" spans="2:18" x14ac:dyDescent="0.25">
      <c r="B6" s="8" t="s">
        <v>20</v>
      </c>
      <c r="J6" s="5"/>
      <c r="K6" s="24"/>
    </row>
    <row r="7" spans="2:18" x14ac:dyDescent="0.25">
      <c r="B7" s="327" t="s">
        <v>26</v>
      </c>
      <c r="J7" s="5"/>
    </row>
    <row r="8" spans="2:18" ht="7.15" customHeight="1" x14ac:dyDescent="0.25">
      <c r="J8" s="5"/>
    </row>
    <row r="9" spans="2:18" x14ac:dyDescent="0.25">
      <c r="B9" s="3"/>
      <c r="D9" s="6" t="s">
        <v>6</v>
      </c>
      <c r="E9" s="7"/>
      <c r="F9" s="7"/>
      <c r="J9" s="5"/>
    </row>
    <row r="10" spans="2:18" ht="9.6" customHeight="1" x14ac:dyDescent="0.25">
      <c r="J10" s="5"/>
    </row>
    <row r="11" spans="2:18" x14ac:dyDescent="0.25">
      <c r="B11" s="235" t="s">
        <v>7</v>
      </c>
      <c r="C11" s="236"/>
      <c r="D11" s="237"/>
      <c r="J11" s="5"/>
    </row>
    <row r="12" spans="2:18" ht="6.6" customHeight="1" x14ac:dyDescent="0.25">
      <c r="J12" s="5"/>
    </row>
    <row r="13" spans="2:18" x14ac:dyDescent="0.25">
      <c r="B13" s="229" t="s">
        <v>7</v>
      </c>
      <c r="C13" s="329"/>
      <c r="D13" s="1" t="s">
        <v>105</v>
      </c>
      <c r="J13" s="5"/>
    </row>
    <row r="14" spans="2:18" ht="6.6" customHeight="1" x14ac:dyDescent="0.25">
      <c r="B14" s="229"/>
      <c r="C14" s="328"/>
      <c r="J14" s="5"/>
    </row>
    <row r="15" spans="2:18" ht="19.149999999999999" customHeight="1" x14ac:dyDescent="0.25">
      <c r="B15" s="8" t="s">
        <v>10</v>
      </c>
      <c r="J15" s="5"/>
    </row>
    <row r="16" spans="2:18" x14ac:dyDescent="0.25">
      <c r="B16" s="9" t="s">
        <v>5</v>
      </c>
      <c r="E16" s="24"/>
      <c r="F16" s="24"/>
      <c r="G16" s="9"/>
      <c r="J16" s="5"/>
    </row>
    <row r="17" spans="2:13" ht="6" customHeight="1" x14ac:dyDescent="0.25">
      <c r="E17" s="27"/>
      <c r="F17" s="24"/>
      <c r="J17" s="5"/>
    </row>
    <row r="18" spans="2:13" ht="57.6" customHeight="1" x14ac:dyDescent="0.25">
      <c r="B18" s="10" t="s">
        <v>23</v>
      </c>
      <c r="C18" s="10" t="s">
        <v>24</v>
      </c>
      <c r="D18" s="11" t="s">
        <v>11</v>
      </c>
      <c r="E18" s="27"/>
      <c r="F18" s="24"/>
      <c r="G18" s="325" t="s">
        <v>106</v>
      </c>
      <c r="H18" s="326">
        <f>MAX(C13,C25,H25)</f>
        <v>0</v>
      </c>
      <c r="J18" s="5"/>
    </row>
    <row r="19" spans="2:13" x14ac:dyDescent="0.25">
      <c r="B19" s="12" t="s">
        <v>0</v>
      </c>
      <c r="C19" s="329"/>
      <c r="D19" s="13"/>
      <c r="E19" s="27"/>
      <c r="F19" s="24"/>
      <c r="G19" s="229"/>
      <c r="J19" s="5"/>
    </row>
    <row r="20" spans="2:13" x14ac:dyDescent="0.25">
      <c r="B20" s="12" t="s">
        <v>1</v>
      </c>
      <c r="C20" s="329"/>
      <c r="D20" s="13"/>
      <c r="E20" s="27"/>
      <c r="F20" s="24"/>
      <c r="G20" s="25"/>
      <c r="H20" s="25"/>
      <c r="I20" s="35"/>
      <c r="J20" s="36"/>
    </row>
    <row r="21" spans="2:13" x14ac:dyDescent="0.25">
      <c r="B21" s="12" t="s">
        <v>2</v>
      </c>
      <c r="C21" s="329"/>
      <c r="D21" s="13">
        <v>6</v>
      </c>
      <c r="E21" s="27"/>
      <c r="F21" s="24"/>
      <c r="G21" s="9" t="s">
        <v>8</v>
      </c>
      <c r="H21" s="26"/>
      <c r="I21" s="35"/>
      <c r="J21" s="36"/>
    </row>
    <row r="22" spans="2:13" x14ac:dyDescent="0.25">
      <c r="B22" s="12" t="s">
        <v>3</v>
      </c>
      <c r="C22" s="329"/>
      <c r="D22" s="13">
        <v>2</v>
      </c>
      <c r="E22" s="27"/>
      <c r="F22" s="24"/>
      <c r="I22" s="35"/>
      <c r="J22" s="36"/>
    </row>
    <row r="23" spans="2:13" ht="17.25" x14ac:dyDescent="0.25">
      <c r="B23" s="12" t="s">
        <v>4</v>
      </c>
      <c r="C23" s="329"/>
      <c r="D23" s="13"/>
      <c r="E23" s="27"/>
      <c r="F23" s="24"/>
      <c r="G23" s="32" t="s">
        <v>9</v>
      </c>
      <c r="H23" s="329"/>
      <c r="I23" s="34"/>
      <c r="J23" s="36"/>
    </row>
    <row r="24" spans="2:13" ht="4.9000000000000004" customHeight="1" thickBot="1" x14ac:dyDescent="0.3">
      <c r="B24" s="14"/>
      <c r="C24" s="15"/>
      <c r="D24" s="16"/>
      <c r="E24" s="27"/>
      <c r="F24" s="24"/>
      <c r="I24" s="35"/>
      <c r="J24" s="36"/>
    </row>
    <row r="25" spans="2:13" ht="15.75" thickBot="1" x14ac:dyDescent="0.3">
      <c r="B25" s="17" t="s">
        <v>7</v>
      </c>
      <c r="C25" s="18">
        <f>ROUNDUP(C19*1.5+C20*2+C21*2.5+C22*3.5+C23*4.5,0)</f>
        <v>0</v>
      </c>
      <c r="E25" s="27"/>
      <c r="F25" s="24"/>
      <c r="G25" s="17" t="s">
        <v>7</v>
      </c>
      <c r="H25" s="18">
        <f>ROUNDUP(H23/50,0)</f>
        <v>0</v>
      </c>
      <c r="I25" s="35"/>
      <c r="J25" s="36"/>
    </row>
    <row r="26" spans="2:13" ht="12.6" customHeight="1" x14ac:dyDescent="0.25">
      <c r="E26" s="27"/>
      <c r="F26" s="24"/>
      <c r="I26" s="35"/>
      <c r="J26" s="36"/>
    </row>
    <row r="27" spans="2:13" x14ac:dyDescent="0.25">
      <c r="B27" s="350" t="s">
        <v>12</v>
      </c>
      <c r="C27" s="351"/>
      <c r="D27" s="352"/>
      <c r="I27" s="35"/>
      <c r="J27" s="36"/>
      <c r="K27" s="19"/>
      <c r="L27" s="19"/>
      <c r="M27" s="19"/>
    </row>
    <row r="28" spans="2:13" ht="3.6" customHeight="1" x14ac:dyDescent="0.25">
      <c r="I28" s="35"/>
      <c r="J28" s="36"/>
      <c r="K28" s="19"/>
      <c r="L28" s="19"/>
      <c r="M28" s="19"/>
    </row>
    <row r="29" spans="2:13" x14ac:dyDescent="0.25">
      <c r="B29" s="1" t="s">
        <v>21</v>
      </c>
      <c r="I29" s="35"/>
      <c r="J29" s="36"/>
      <c r="K29" s="19"/>
      <c r="L29" s="19"/>
      <c r="M29" s="19"/>
    </row>
    <row r="30" spans="2:13" ht="3.6" customHeight="1" x14ac:dyDescent="0.25">
      <c r="I30" s="35"/>
      <c r="J30" s="36"/>
      <c r="K30" s="19"/>
      <c r="L30" s="19"/>
      <c r="M30" s="19"/>
    </row>
    <row r="31" spans="2:13" x14ac:dyDescent="0.25">
      <c r="B31" s="20"/>
      <c r="C31" s="21"/>
      <c r="D31" s="21"/>
      <c r="E31" s="19"/>
      <c r="F31" s="33"/>
      <c r="G31" s="39"/>
      <c r="H31" s="39"/>
      <c r="I31" s="44"/>
      <c r="J31" s="36"/>
      <c r="K31" s="19"/>
      <c r="L31" s="19"/>
      <c r="M31" s="19"/>
    </row>
    <row r="32" spans="2:13" x14ac:dyDescent="0.25">
      <c r="B32" s="22" t="s">
        <v>14</v>
      </c>
      <c r="C32" s="353" t="str">
        <f>IF('2. Dimension ecopoint'!M8&gt;1,CONCATENATE(ROUNDUP('2. Dimension ecopoint'!M8,0)," x 360 l ou ",ROUNDUP('2. Dimension ecopoint'!N8,0)," x 770 l"),CONCATENATE(ROUNDUP('2. Dimension ecopoint'!M8,0)," x 360 l"))</f>
        <v>0 x 360 l</v>
      </c>
      <c r="D32" s="353"/>
      <c r="E32" s="19"/>
      <c r="F32" s="33"/>
      <c r="G32" s="40"/>
      <c r="H32" s="41"/>
      <c r="I32" s="44"/>
      <c r="J32" s="37"/>
      <c r="K32" s="19"/>
      <c r="L32" s="19"/>
      <c r="M32" s="19"/>
    </row>
    <row r="33" spans="2:13" x14ac:dyDescent="0.25">
      <c r="B33" s="22" t="s">
        <v>15</v>
      </c>
      <c r="C33" s="353" t="str">
        <f>IF('2. Dimension ecopoint'!M10&gt;1,CONCATENATE(ROUNDUP('2. Dimension ecopoint'!M10,0)," x 360 l ou ",ROUNDUP('2. Dimension ecopoint'!N10,0)," x 770 l"),CONCATENATE(ROUNDUP('2. Dimension ecopoint'!M10,0)," x 360 l"))</f>
        <v>0 x 360 l</v>
      </c>
      <c r="D33" s="353"/>
      <c r="E33" s="19"/>
      <c r="F33" s="33"/>
      <c r="G33" s="40"/>
      <c r="H33" s="41"/>
      <c r="I33" s="44"/>
      <c r="J33" s="37"/>
      <c r="K33" s="19"/>
      <c r="L33" s="19"/>
      <c r="M33" s="19"/>
    </row>
    <row r="34" spans="2:13" x14ac:dyDescent="0.25">
      <c r="B34" s="22" t="s">
        <v>13</v>
      </c>
      <c r="C34" s="353" t="str">
        <f>CONCATENATE(ROUNDUP('2. Dimension ecopoint'!M11,0)," x 360 l")</f>
        <v>0 x 360 l</v>
      </c>
      <c r="D34" s="353"/>
      <c r="E34" s="19"/>
      <c r="F34" s="33"/>
      <c r="G34" s="40"/>
      <c r="H34" s="41"/>
      <c r="I34" s="44"/>
      <c r="J34" s="37"/>
      <c r="K34" s="19"/>
      <c r="L34" s="19"/>
      <c r="M34" s="19"/>
    </row>
    <row r="35" spans="2:13" ht="15" customHeight="1" x14ac:dyDescent="0.25">
      <c r="E35" s="19"/>
      <c r="F35" s="33"/>
      <c r="G35" s="42"/>
      <c r="H35" s="42"/>
      <c r="I35" s="38"/>
      <c r="J35" s="36"/>
      <c r="K35" s="19"/>
      <c r="L35" s="19"/>
      <c r="M35" s="19"/>
    </row>
    <row r="36" spans="2:13" x14ac:dyDescent="0.25">
      <c r="B36" s="350" t="s">
        <v>19</v>
      </c>
      <c r="C36" s="351"/>
      <c r="D36" s="352"/>
      <c r="E36" s="19"/>
      <c r="F36" s="33"/>
      <c r="G36" s="33"/>
      <c r="H36" s="33"/>
      <c r="I36" s="35"/>
      <c r="J36" s="36"/>
      <c r="K36" s="19"/>
      <c r="L36" s="19"/>
      <c r="M36" s="19"/>
    </row>
    <row r="37" spans="2:13" ht="7.15" customHeight="1" x14ac:dyDescent="0.25">
      <c r="F37" s="33"/>
      <c r="G37" s="33"/>
      <c r="H37" s="33"/>
      <c r="I37" s="35"/>
      <c r="J37" s="36"/>
      <c r="K37" s="19"/>
      <c r="L37" s="19"/>
      <c r="M37" s="19"/>
    </row>
    <row r="38" spans="2:13" x14ac:dyDescent="0.25">
      <c r="B38" s="1" t="s">
        <v>22</v>
      </c>
      <c r="F38" s="33"/>
      <c r="G38" s="43">
        <f>'2. Dimension ecopoint'!D60</f>
        <v>0</v>
      </c>
      <c r="H38" s="33"/>
      <c r="I38" s="35"/>
      <c r="J38" s="36"/>
      <c r="K38" s="19"/>
      <c r="L38" s="19"/>
      <c r="M38" s="19"/>
    </row>
    <row r="39" spans="2:13" x14ac:dyDescent="0.25">
      <c r="C39" s="30"/>
      <c r="D39" s="30"/>
      <c r="E39" s="7"/>
      <c r="I39" s="35"/>
      <c r="J39" s="36"/>
    </row>
    <row r="40" spans="2:13" x14ac:dyDescent="0.25">
      <c r="B40" s="322"/>
      <c r="C40" s="30"/>
      <c r="D40" s="30"/>
      <c r="E40" s="7"/>
      <c r="I40" s="35"/>
      <c r="J40" s="37"/>
      <c r="L40" s="31" t="s">
        <v>25</v>
      </c>
    </row>
    <row r="41" spans="2:13" x14ac:dyDescent="0.25">
      <c r="B41" s="31"/>
      <c r="C41" s="29"/>
      <c r="D41" s="29"/>
      <c r="E41" s="7"/>
      <c r="I41" s="35"/>
      <c r="J41" s="37"/>
      <c r="L41" s="31"/>
    </row>
    <row r="42" spans="2:13" x14ac:dyDescent="0.25">
      <c r="B42" s="31"/>
      <c r="J42" s="23"/>
      <c r="L42" s="31" t="s">
        <v>142</v>
      </c>
    </row>
    <row r="43" spans="2:13" x14ac:dyDescent="0.25">
      <c r="I43" s="24"/>
      <c r="J43" s="28"/>
      <c r="K43" s="24"/>
      <c r="L43" s="24"/>
    </row>
  </sheetData>
  <sheetProtection algorithmName="SHA-512" hashValue="XxmznoSo9L1pYdgxv1zYQCPJuF1zf0ofLP7iJdoWgE/ks5TyQtgihsB0dvVl9RsAnn+Ai30b5auPatxf0dA5kw==" saltValue="B5Pdo1Uj/j0vZ2p2mRX5Dw==" spinCount="100000" sheet="1" objects="1" scenarios="1"/>
  <mergeCells count="5">
    <mergeCell ref="B27:D27"/>
    <mergeCell ref="B36:D36"/>
    <mergeCell ref="C32:D32"/>
    <mergeCell ref="C33:D33"/>
    <mergeCell ref="C34:D34"/>
  </mergeCells>
  <pageMargins left="0.25" right="0.25"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V23"/>
  <sheetViews>
    <sheetView showGridLines="0" zoomScaleNormal="100" workbookViewId="0">
      <selection activeCell="J22" sqref="J22"/>
    </sheetView>
  </sheetViews>
  <sheetFormatPr baseColWidth="10" defaultColWidth="8.85546875" defaultRowHeight="15" x14ac:dyDescent="0.25"/>
  <cols>
    <col min="1" max="1" width="1.5703125" customWidth="1"/>
    <col min="2" max="2" width="26.28515625" customWidth="1"/>
    <col min="3" max="3" width="7.28515625" customWidth="1"/>
    <col min="4" max="4" width="8.28515625" customWidth="1"/>
    <col min="5" max="5" width="7.28515625" customWidth="1"/>
    <col min="6" max="6" width="7.85546875" customWidth="1"/>
    <col min="7" max="7" width="7.7109375" customWidth="1"/>
    <col min="8" max="8" width="7" customWidth="1"/>
    <col min="9" max="9" width="7.28515625" customWidth="1"/>
    <col min="10" max="10" width="6.85546875" customWidth="1"/>
    <col min="11" max="11" width="8.5703125" customWidth="1"/>
    <col min="12" max="13" width="7.85546875" customWidth="1"/>
    <col min="14" max="14" width="7.140625" customWidth="1"/>
    <col min="15" max="15" width="33.85546875" customWidth="1"/>
    <col min="16" max="16" width="13.140625" customWidth="1"/>
    <col min="17" max="17" width="33.7109375" customWidth="1"/>
    <col min="18" max="18" width="13.42578125" customWidth="1"/>
    <col min="19" max="19" width="8.5703125" bestFit="1" customWidth="1"/>
    <col min="20" max="20" width="11.5703125" customWidth="1"/>
    <col min="21" max="21" width="8.140625" bestFit="1" customWidth="1"/>
    <col min="22" max="22" width="1.85546875" customWidth="1"/>
    <col min="27" max="27" width="2" customWidth="1"/>
  </cols>
  <sheetData>
    <row r="1" spans="2:22" ht="6.6" customHeight="1" x14ac:dyDescent="0.25"/>
    <row r="2" spans="2:22" x14ac:dyDescent="0.25">
      <c r="B2" s="119" t="s">
        <v>104</v>
      </c>
      <c r="C2" s="184"/>
    </row>
    <row r="4" spans="2:22" x14ac:dyDescent="0.25">
      <c r="C4" s="354" t="s">
        <v>49</v>
      </c>
      <c r="D4" s="355"/>
      <c r="E4" s="355"/>
      <c r="F4" s="355"/>
      <c r="G4" s="355"/>
      <c r="H4" s="356"/>
      <c r="I4" s="354" t="s">
        <v>50</v>
      </c>
      <c r="J4" s="355"/>
      <c r="K4" s="355"/>
      <c r="L4" s="355"/>
      <c r="M4" s="355"/>
      <c r="N4" s="356"/>
    </row>
    <row r="5" spans="2:22" ht="40.15" customHeight="1" x14ac:dyDescent="0.25">
      <c r="C5" s="120" t="s">
        <v>51</v>
      </c>
      <c r="D5" s="121" t="s">
        <v>44</v>
      </c>
      <c r="E5" s="121" t="s">
        <v>52</v>
      </c>
      <c r="F5" s="121" t="s">
        <v>53</v>
      </c>
      <c r="G5" s="122" t="s">
        <v>54</v>
      </c>
      <c r="H5" s="123" t="s">
        <v>55</v>
      </c>
      <c r="I5" s="120" t="s">
        <v>56</v>
      </c>
      <c r="J5" s="124" t="s">
        <v>30</v>
      </c>
      <c r="K5" s="124" t="s">
        <v>32</v>
      </c>
      <c r="L5" s="124" t="s">
        <v>53</v>
      </c>
      <c r="M5" s="125" t="s">
        <v>54</v>
      </c>
      <c r="N5" s="126" t="s">
        <v>55</v>
      </c>
      <c r="O5" s="127" t="s">
        <v>16</v>
      </c>
      <c r="P5" s="128" t="s">
        <v>132</v>
      </c>
      <c r="Q5" s="129" t="s">
        <v>133</v>
      </c>
    </row>
    <row r="6" spans="2:22" x14ac:dyDescent="0.25">
      <c r="B6" s="357" t="s">
        <v>57</v>
      </c>
      <c r="C6" s="358"/>
      <c r="D6" s="358"/>
      <c r="E6" s="358"/>
      <c r="F6" s="358"/>
      <c r="G6" s="358"/>
      <c r="H6" s="358"/>
      <c r="I6" s="358"/>
      <c r="J6" s="358"/>
      <c r="K6" s="358"/>
      <c r="L6" s="358"/>
      <c r="M6" s="358"/>
      <c r="N6" s="358"/>
      <c r="O6" s="358"/>
      <c r="P6" s="358"/>
      <c r="Q6" s="359"/>
    </row>
    <row r="7" spans="2:22" x14ac:dyDescent="0.25">
      <c r="B7" s="130" t="s">
        <v>58</v>
      </c>
      <c r="C7" s="131">
        <v>2</v>
      </c>
      <c r="D7" s="132">
        <v>2</v>
      </c>
      <c r="E7" s="132">
        <v>2</v>
      </c>
      <c r="F7" s="133">
        <v>3</v>
      </c>
      <c r="G7" s="134"/>
      <c r="H7" s="135">
        <f>SUM(C7:G7)</f>
        <v>9</v>
      </c>
      <c r="I7" s="136" t="s">
        <v>59</v>
      </c>
      <c r="J7" s="137" t="s">
        <v>59</v>
      </c>
      <c r="K7" s="132">
        <v>3</v>
      </c>
      <c r="L7" s="138"/>
      <c r="M7" s="139"/>
      <c r="N7" s="140">
        <f>SUM(I7:M7)</f>
        <v>3</v>
      </c>
      <c r="O7" s="323" t="s">
        <v>135</v>
      </c>
      <c r="P7" s="141">
        <v>30.680000000000003</v>
      </c>
      <c r="Q7" s="142">
        <f>P7+15</f>
        <v>45.680000000000007</v>
      </c>
      <c r="V7" s="143"/>
    </row>
    <row r="8" spans="2:22" x14ac:dyDescent="0.25">
      <c r="B8" s="130" t="s">
        <v>60</v>
      </c>
      <c r="C8" s="144">
        <v>2</v>
      </c>
      <c r="D8" s="145">
        <v>2</v>
      </c>
      <c r="E8" s="145">
        <v>2</v>
      </c>
      <c r="F8" s="137" t="s">
        <v>59</v>
      </c>
      <c r="G8" s="139"/>
      <c r="H8" s="135">
        <f t="shared" ref="H8:H13" si="0">SUM(C8:G8)</f>
        <v>6</v>
      </c>
      <c r="I8" s="144">
        <v>2</v>
      </c>
      <c r="J8" s="145">
        <v>2</v>
      </c>
      <c r="K8" s="145">
        <v>3</v>
      </c>
      <c r="L8" s="139"/>
      <c r="M8" s="139"/>
      <c r="N8" s="140">
        <f t="shared" ref="N8:N13" si="1">SUM(I8:M8)</f>
        <v>7</v>
      </c>
      <c r="O8" s="323" t="s">
        <v>135</v>
      </c>
      <c r="P8" s="146">
        <v>87</v>
      </c>
      <c r="Q8" s="142">
        <f t="shared" ref="Q8:Q13" si="2">P8+15</f>
        <v>102</v>
      </c>
      <c r="V8" s="147"/>
    </row>
    <row r="9" spans="2:22" x14ac:dyDescent="0.25">
      <c r="B9" s="130" t="s">
        <v>61</v>
      </c>
      <c r="C9" s="144">
        <v>2</v>
      </c>
      <c r="D9" s="145">
        <v>2</v>
      </c>
      <c r="E9" s="145">
        <v>2</v>
      </c>
      <c r="F9" s="137" t="s">
        <v>59</v>
      </c>
      <c r="G9" s="139"/>
      <c r="H9" s="135">
        <f t="shared" si="0"/>
        <v>6</v>
      </c>
      <c r="I9" s="144">
        <v>2</v>
      </c>
      <c r="J9" s="145">
        <v>2</v>
      </c>
      <c r="K9" s="145">
        <v>3</v>
      </c>
      <c r="L9" s="139"/>
      <c r="M9" s="139"/>
      <c r="N9" s="140">
        <f t="shared" si="1"/>
        <v>7</v>
      </c>
      <c r="O9" s="323" t="s">
        <v>135</v>
      </c>
      <c r="P9" s="148">
        <v>64.17</v>
      </c>
      <c r="Q9" s="142">
        <f t="shared" si="2"/>
        <v>79.17</v>
      </c>
    </row>
    <row r="10" spans="2:22" x14ac:dyDescent="0.25">
      <c r="B10" s="130" t="s">
        <v>62</v>
      </c>
      <c r="C10" s="144">
        <v>2</v>
      </c>
      <c r="D10" s="145">
        <v>2</v>
      </c>
      <c r="E10" s="145">
        <v>2</v>
      </c>
      <c r="F10" s="137" t="s">
        <v>59</v>
      </c>
      <c r="G10" s="139"/>
      <c r="H10" s="135">
        <f t="shared" si="0"/>
        <v>6</v>
      </c>
      <c r="I10" s="144">
        <v>1</v>
      </c>
      <c r="J10" s="145">
        <v>1</v>
      </c>
      <c r="K10" s="145">
        <v>3</v>
      </c>
      <c r="L10" s="139"/>
      <c r="M10" s="139"/>
      <c r="N10" s="140">
        <f t="shared" si="1"/>
        <v>5</v>
      </c>
      <c r="O10" s="323" t="s">
        <v>135</v>
      </c>
      <c r="P10" s="148">
        <v>28.08</v>
      </c>
      <c r="Q10" s="142">
        <f t="shared" si="2"/>
        <v>43.08</v>
      </c>
    </row>
    <row r="11" spans="2:22" x14ac:dyDescent="0.25">
      <c r="B11" s="130" t="s">
        <v>63</v>
      </c>
      <c r="C11" s="144">
        <v>1</v>
      </c>
      <c r="D11" s="145">
        <v>2</v>
      </c>
      <c r="E11" s="145">
        <v>1</v>
      </c>
      <c r="F11" s="137" t="s">
        <v>59</v>
      </c>
      <c r="G11" s="139"/>
      <c r="H11" s="135">
        <f t="shared" si="0"/>
        <v>4</v>
      </c>
      <c r="I11" s="136" t="s">
        <v>59</v>
      </c>
      <c r="J11" s="137" t="s">
        <v>59</v>
      </c>
      <c r="K11" s="145">
        <v>3</v>
      </c>
      <c r="L11" s="139"/>
      <c r="M11" s="139"/>
      <c r="N11" s="140">
        <f t="shared" si="1"/>
        <v>3</v>
      </c>
      <c r="O11" s="323" t="s">
        <v>135</v>
      </c>
      <c r="P11" s="148">
        <v>25.110000000000003</v>
      </c>
      <c r="Q11" s="142">
        <f t="shared" si="2"/>
        <v>40.11</v>
      </c>
    </row>
    <row r="12" spans="2:22" x14ac:dyDescent="0.25">
      <c r="B12" s="130" t="s">
        <v>64</v>
      </c>
      <c r="C12" s="144">
        <v>1</v>
      </c>
      <c r="D12" s="145">
        <v>2</v>
      </c>
      <c r="E12" s="145">
        <v>1</v>
      </c>
      <c r="F12" s="137" t="s">
        <v>59</v>
      </c>
      <c r="G12" s="139"/>
      <c r="H12" s="135">
        <f t="shared" si="0"/>
        <v>4</v>
      </c>
      <c r="I12" s="144">
        <v>3</v>
      </c>
      <c r="J12" s="145">
        <v>2</v>
      </c>
      <c r="K12" s="145">
        <v>3</v>
      </c>
      <c r="L12" s="139"/>
      <c r="M12" s="139"/>
      <c r="N12" s="140">
        <f t="shared" si="1"/>
        <v>8</v>
      </c>
      <c r="O12" s="323" t="s">
        <v>135</v>
      </c>
      <c r="P12" s="148">
        <v>41.580000000000005</v>
      </c>
      <c r="Q12" s="142">
        <f t="shared" si="2"/>
        <v>56.580000000000005</v>
      </c>
    </row>
    <row r="13" spans="2:22" x14ac:dyDescent="0.25">
      <c r="B13" s="149" t="s">
        <v>65</v>
      </c>
      <c r="C13" s="150">
        <v>2</v>
      </c>
      <c r="D13" s="151">
        <v>2</v>
      </c>
      <c r="E13" s="151">
        <v>2</v>
      </c>
      <c r="F13" s="137" t="s">
        <v>59</v>
      </c>
      <c r="G13" s="139"/>
      <c r="H13" s="135">
        <f t="shared" si="0"/>
        <v>6</v>
      </c>
      <c r="I13" s="150">
        <v>1</v>
      </c>
      <c r="J13" s="151">
        <v>1</v>
      </c>
      <c r="K13" s="151">
        <v>3</v>
      </c>
      <c r="L13" s="152"/>
      <c r="M13" s="139"/>
      <c r="N13" s="140">
        <f t="shared" si="1"/>
        <v>5</v>
      </c>
      <c r="O13" s="323" t="s">
        <v>135</v>
      </c>
      <c r="P13" s="153">
        <v>36.995000000000005</v>
      </c>
      <c r="Q13" s="142">
        <f t="shared" si="2"/>
        <v>51.995000000000005</v>
      </c>
    </row>
    <row r="14" spans="2:22" ht="30" x14ac:dyDescent="0.25">
      <c r="B14" s="154" t="s">
        <v>67</v>
      </c>
      <c r="C14" s="150">
        <v>8</v>
      </c>
      <c r="D14" s="151">
        <v>2</v>
      </c>
      <c r="E14" s="151">
        <v>2</v>
      </c>
      <c r="F14" s="137" t="s">
        <v>59</v>
      </c>
      <c r="G14" s="139"/>
      <c r="H14" s="135">
        <v>12</v>
      </c>
      <c r="I14" s="150" t="s">
        <v>136</v>
      </c>
      <c r="J14" s="151" t="s">
        <v>139</v>
      </c>
      <c r="K14" s="151" t="s">
        <v>137</v>
      </c>
      <c r="L14" s="152"/>
      <c r="M14" s="139"/>
      <c r="N14" s="140">
        <v>8</v>
      </c>
      <c r="O14" s="324" t="s">
        <v>138</v>
      </c>
      <c r="P14" s="153">
        <f>(3.86+8+3.28)*(5.57)</f>
        <v>84.329799999999992</v>
      </c>
      <c r="Q14" s="142">
        <f>(3.86+8+3.28)*(5.57+1.6+2)</f>
        <v>138.8338</v>
      </c>
    </row>
    <row r="15" spans="2:22" x14ac:dyDescent="0.25">
      <c r="B15" s="357" t="s">
        <v>66</v>
      </c>
      <c r="C15" s="358"/>
      <c r="D15" s="358"/>
      <c r="E15" s="358"/>
      <c r="F15" s="358"/>
      <c r="G15" s="358"/>
      <c r="H15" s="358"/>
      <c r="I15" s="358"/>
      <c r="J15" s="358"/>
      <c r="K15" s="358"/>
      <c r="L15" s="358"/>
      <c r="M15" s="358"/>
      <c r="N15" s="358"/>
      <c r="O15" s="358"/>
      <c r="P15" s="358"/>
      <c r="Q15" s="359"/>
    </row>
    <row r="16" spans="2:22" x14ac:dyDescent="0.25">
      <c r="B16" s="154" t="s">
        <v>68</v>
      </c>
      <c r="C16" s="158">
        <v>8</v>
      </c>
      <c r="D16" s="155" t="s">
        <v>59</v>
      </c>
      <c r="E16" s="155" t="s">
        <v>59</v>
      </c>
      <c r="F16" s="155" t="s">
        <v>59</v>
      </c>
      <c r="G16" s="155">
        <v>1</v>
      </c>
      <c r="H16" s="156">
        <f>SUM(C16:G16)</f>
        <v>9</v>
      </c>
      <c r="I16" s="159">
        <v>3</v>
      </c>
      <c r="J16" s="155">
        <v>2</v>
      </c>
      <c r="K16" s="155" t="s">
        <v>59</v>
      </c>
      <c r="L16" s="155" t="s">
        <v>59</v>
      </c>
      <c r="M16" s="155">
        <v>1</v>
      </c>
      <c r="N16" s="157">
        <f>SUM(I16:M16)</f>
        <v>6</v>
      </c>
      <c r="O16" s="160" t="s">
        <v>69</v>
      </c>
      <c r="P16" s="161"/>
      <c r="Q16" s="162">
        <v>60</v>
      </c>
    </row>
    <row r="17" spans="2:17" ht="30" x14ac:dyDescent="0.25">
      <c r="B17" s="163" t="s">
        <v>70</v>
      </c>
      <c r="C17" s="164">
        <v>9</v>
      </c>
      <c r="D17" s="155" t="s">
        <v>59</v>
      </c>
      <c r="E17" s="155" t="s">
        <v>59</v>
      </c>
      <c r="F17" s="155" t="s">
        <v>59</v>
      </c>
      <c r="G17" s="155">
        <v>3</v>
      </c>
      <c r="H17" s="165">
        <f>SUM(C17:G17)</f>
        <v>12</v>
      </c>
      <c r="I17" s="164">
        <v>6</v>
      </c>
      <c r="J17" s="155">
        <v>5</v>
      </c>
      <c r="K17" s="155" t="s">
        <v>59</v>
      </c>
      <c r="L17" s="155" t="s">
        <v>59</v>
      </c>
      <c r="M17" s="155">
        <v>1</v>
      </c>
      <c r="N17" s="157">
        <f>SUM(I17:M17)</f>
        <v>12</v>
      </c>
      <c r="O17" s="166" t="s">
        <v>71</v>
      </c>
      <c r="P17" s="161"/>
      <c r="Q17" s="167" t="s">
        <v>75</v>
      </c>
    </row>
    <row r="18" spans="2:17" x14ac:dyDescent="0.25">
      <c r="B18" s="163" t="s">
        <v>72</v>
      </c>
      <c r="C18" s="164" t="s">
        <v>59</v>
      </c>
      <c r="D18" s="168">
        <v>3</v>
      </c>
      <c r="E18" s="168">
        <v>3</v>
      </c>
      <c r="F18" s="155" t="s">
        <v>59</v>
      </c>
      <c r="G18" s="155">
        <v>3</v>
      </c>
      <c r="H18" s="169">
        <f>SUM(C18:G18)</f>
        <v>9</v>
      </c>
      <c r="I18" s="164" t="s">
        <v>59</v>
      </c>
      <c r="J18" s="155" t="s">
        <v>59</v>
      </c>
      <c r="K18" s="168">
        <v>4</v>
      </c>
      <c r="L18" s="168">
        <v>1</v>
      </c>
      <c r="M18" s="155" t="s">
        <v>59</v>
      </c>
      <c r="N18" s="157">
        <f t="shared" ref="N18:N19" si="3">SUM(I18:M18)</f>
        <v>5</v>
      </c>
      <c r="O18" s="170" t="s">
        <v>73</v>
      </c>
      <c r="P18" s="161"/>
      <c r="Q18" s="162">
        <v>70</v>
      </c>
    </row>
    <row r="19" spans="2:17" ht="30" x14ac:dyDescent="0.25">
      <c r="B19" s="154" t="s">
        <v>74</v>
      </c>
      <c r="C19" s="173">
        <v>4</v>
      </c>
      <c r="D19" s="174">
        <v>2</v>
      </c>
      <c r="E19" s="174">
        <v>1</v>
      </c>
      <c r="F19" s="175" t="s">
        <v>59</v>
      </c>
      <c r="G19" s="174">
        <v>3</v>
      </c>
      <c r="H19" s="176">
        <f t="shared" ref="H19" si="4">SUM(C19:G19)</f>
        <v>10</v>
      </c>
      <c r="I19" s="173">
        <v>2</v>
      </c>
      <c r="J19" s="174">
        <v>2</v>
      </c>
      <c r="K19" s="174">
        <v>3</v>
      </c>
      <c r="L19" s="175" t="s">
        <v>59</v>
      </c>
      <c r="M19" s="175" t="s">
        <v>59</v>
      </c>
      <c r="N19" s="177">
        <f t="shared" si="3"/>
        <v>7</v>
      </c>
      <c r="O19" s="166" t="s">
        <v>76</v>
      </c>
      <c r="P19" s="161"/>
      <c r="Q19" s="178">
        <v>60</v>
      </c>
    </row>
    <row r="21" spans="2:17" x14ac:dyDescent="0.25">
      <c r="C21" s="171" t="s">
        <v>134</v>
      </c>
    </row>
    <row r="22" spans="2:17" x14ac:dyDescent="0.25">
      <c r="C22" s="172"/>
    </row>
    <row r="23" spans="2:17" x14ac:dyDescent="0.25">
      <c r="C23" s="172"/>
    </row>
  </sheetData>
  <mergeCells count="4">
    <mergeCell ref="C4:H4"/>
    <mergeCell ref="I4:N4"/>
    <mergeCell ref="B6:Q6"/>
    <mergeCell ref="B15:Q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1. Stat dechet</vt:lpstr>
      <vt:lpstr>2. Dimension ecopoint</vt:lpstr>
      <vt:lpstr>Dimension prive en surface</vt:lpstr>
      <vt:lpstr>4. Stat ecopoint</vt:lpstr>
      <vt:lpstr>'Dimension prive en surface'!_ftn1</vt:lpstr>
      <vt:lpstr>'Dimension prive en surface'!_ftnref1</vt:lpstr>
    </vt:vector>
  </TitlesOfParts>
  <Company>Ville de Pully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Gorgerat</dc:creator>
  <cp:lastModifiedBy>Gorgerat, Sylvain</cp:lastModifiedBy>
  <cp:lastPrinted>2019-01-07T16:19:50Z</cp:lastPrinted>
  <dcterms:created xsi:type="dcterms:W3CDTF">2013-03-01T08:29:33Z</dcterms:created>
  <dcterms:modified xsi:type="dcterms:W3CDTF">2025-11-05T10:00:46Z</dcterms:modified>
</cp:coreProperties>
</file>